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6-2028 годов\"/>
    </mc:Choice>
  </mc:AlternateContent>
  <xr:revisionPtr revIDLastSave="0" documentId="13_ncr:1_{3E9D2C47-24BE-4680-AE08-14B5430D727E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7" sheetId="115" r:id="rId1"/>
    <sheet name="ИНП2027" sheetId="61" r:id="rId2"/>
    <sheet name="ИБР2027" sheetId="94" r:id="rId3"/>
  </sheets>
  <definedNames>
    <definedName name="_xlnm.Print_Titles" localSheetId="2">ИБР2027!$A:$B</definedName>
    <definedName name="_xlnm.Print_Titles" localSheetId="1">ИНП2027!$A:$B,ИНП2027!$3:$8</definedName>
    <definedName name="_xlnm.Print_Titles" localSheetId="0">'Регион ФФПП 2027'!$A:$B</definedName>
    <definedName name="_xlnm.Print_Area" localSheetId="2">ИБР2027!$A$1:$AV$20</definedName>
    <definedName name="_xlnm.Print_Area" localSheetId="1">ИНП2027!$A$1:$U$20</definedName>
    <definedName name="_xlnm.Print_Area" localSheetId="0">'Регион ФФПП 2027'!$A$1:$O$23</definedName>
  </definedNames>
  <calcPr calcId="19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Q20" i="61" l="1"/>
  <c r="E21" i="115" l="1"/>
  <c r="E22" i="115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P20" i="6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H17" i="115" s="1"/>
  <c r="O15" i="61"/>
  <c r="O16" i="61"/>
  <c r="O17" i="61"/>
  <c r="O18" i="61"/>
  <c r="O19" i="61"/>
  <c r="L20" i="61"/>
  <c r="T9" i="61"/>
  <c r="F12" i="115" s="1"/>
  <c r="H12" i="115" s="1"/>
  <c r="C20" i="61"/>
  <c r="AU9" i="94" l="1"/>
  <c r="T12" i="61"/>
  <c r="F15" i="115" s="1"/>
  <c r="H15" i="115" s="1"/>
  <c r="T10" i="61"/>
  <c r="F13" i="115" s="1"/>
  <c r="H13" i="115" s="1"/>
  <c r="G20" i="94"/>
  <c r="I20" i="94"/>
  <c r="T16" i="61"/>
  <c r="F19" i="115" s="1"/>
  <c r="H19" i="115" s="1"/>
  <c r="T18" i="61"/>
  <c r="F21" i="115" s="1"/>
  <c r="G21" i="115" s="1"/>
  <c r="T19" i="61"/>
  <c r="F22" i="115" s="1"/>
  <c r="G22" i="115" s="1"/>
  <c r="T17" i="61"/>
  <c r="F20" i="115" s="1"/>
  <c r="H20" i="115" s="1"/>
  <c r="T15" i="61"/>
  <c r="F18" i="115" s="1"/>
  <c r="H18" i="115" s="1"/>
  <c r="T13" i="61"/>
  <c r="F16" i="115" s="1"/>
  <c r="H16" i="115" s="1"/>
  <c r="T11" i="61"/>
  <c r="F14" i="115" s="1"/>
  <c r="H14" i="115" s="1"/>
  <c r="AU15" i="94"/>
  <c r="AT20" i="94"/>
  <c r="AV9" i="94" s="1"/>
  <c r="AU17" i="94"/>
  <c r="O20" i="61"/>
  <c r="E12" i="115" l="1"/>
  <c r="G12" i="115" s="1"/>
  <c r="AV20" i="94"/>
  <c r="E23" i="115" s="1"/>
  <c r="AV13" i="94"/>
  <c r="AV17" i="94"/>
  <c r="AV10" i="94"/>
  <c r="AV12" i="94"/>
  <c r="AV14" i="94"/>
  <c r="AV16" i="94"/>
  <c r="AV11" i="94"/>
  <c r="AV15" i="94"/>
  <c r="AU20" i="94"/>
  <c r="C23" i="115"/>
  <c r="E17" i="115" l="1"/>
  <c r="G17" i="115" s="1"/>
  <c r="E16" i="115"/>
  <c r="G16" i="115" s="1"/>
  <c r="E18" i="115"/>
  <c r="G18" i="115" s="1"/>
  <c r="E13" i="115"/>
  <c r="G13" i="115" s="1"/>
  <c r="E15" i="115"/>
  <c r="G15" i="115" s="1"/>
  <c r="E14" i="115"/>
  <c r="G14" i="115" s="1"/>
  <c r="E19" i="115"/>
  <c r="G19" i="115" s="1"/>
  <c r="E20" i="115"/>
  <c r="G20" i="115" s="1"/>
  <c r="H22" i="115"/>
  <c r="H21" i="115"/>
  <c r="F23" i="115"/>
  <c r="J2" i="115" s="1"/>
  <c r="G23" i="115" l="1"/>
  <c r="H23" i="115"/>
  <c r="K20" i="61"/>
  <c r="H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J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23" i="115" l="1"/>
  <c r="K18" i="115" s="1"/>
  <c r="K15" i="115" l="1"/>
  <c r="K21" i="115"/>
  <c r="K12" i="115"/>
  <c r="K16" i="115"/>
  <c r="K20" i="115"/>
  <c r="K13" i="115"/>
  <c r="K17" i="115"/>
  <c r="K22" i="115"/>
  <c r="K19" i="115"/>
  <c r="K14" i="115"/>
  <c r="K23" i="115" l="1"/>
  <c r="L18" i="115" s="1"/>
  <c r="L13" i="115" l="1"/>
  <c r="L15" i="115"/>
  <c r="L20" i="115"/>
  <c r="L19" i="115"/>
  <c r="L14" i="115"/>
  <c r="L17" i="115"/>
  <c r="L16" i="115"/>
  <c r="L12" i="115"/>
  <c r="L22" i="115"/>
  <c r="L21" i="115"/>
  <c r="N12" i="115" l="1"/>
  <c r="O12" i="115" s="1"/>
  <c r="L23" i="115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<sst xmlns="http://schemas.openxmlformats.org/spreadsheetml/2006/main" count="304" uniqueCount="172">
  <si>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</si>
  <si>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</si>
  <si>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</si>
  <si>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</si>
  <si>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</si>
  <si>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</si>
  <si>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</si>
  <si>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</si>
  <si>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</si>
  <si>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</si>
  <si>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</si>
  <si>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</si>
  <si>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</si>
  <si>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</si>
  <si>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</si>
  <si>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</si>
  <si>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</si>
  <si>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</si>
  <si>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</si>
  <si>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</si>
  <si>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</si>
  <si>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</si>
  <si>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</si>
  <si>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</si>
  <si>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</si>
  <si>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</si>
  <si>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</si>
  <si>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</si>
  <si>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</si>
  <si>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</si>
  <si>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</si>
  <si>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</si>
  <si>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</si>
  <si>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</si>
  <si>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</si>
  <si>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</si>
  <si>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</si>
  <si>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</si>
  <si>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</si>
  <si>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</si>
  <si>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</si>
  <si>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</si>
  <si>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</si>
  <si>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</si>
  <si>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</si>
  <si>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</si>
  <si>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</si>
  <si>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</si>
  <si>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</si>
  <si>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</si>
  <si>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</si>
  <si>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</si>
  <si>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</si>
  <si>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</si>
  <si>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</si>
  <si>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</si>
  <si>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</si>
  <si>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</si>
  <si>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</si>
  <si>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</si>
  <si>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</si>
  <si>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</si>
  <si>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</si>
  <si>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</si>
  <si>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</si>
  <si>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</si>
  <si>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</si>
  <si>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</si>
  <si>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</si>
  <si>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</si>
  <si>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</si>
  <si>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</si>
  <si>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</si>
  <si>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</si>
  <si>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</si>
  <si>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</si>
  <si>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</si>
  <si>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</si>
  <si>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</si>
  <si>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</si>
  <si>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</si>
  <si>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</si>
  <si>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</si>
  <si>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</si>
  <si>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</si>
  <si>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</si>
  <si>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</si>
  <si>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</si>
  <si>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</si>
  <si>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</si>
  <si>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</si>
  <si>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</si>
  <si>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</si>
  <si>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</si>
  <si>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</si>
  <si>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</si>
  <si>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</si>
  <si>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</si>
  <si>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</si>
  <si>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</si>
  <si>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</si>
  <si>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</si>
  <si>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</si>
  <si>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</si>
  <si>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</si>
  <si>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</si>
  <si>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</si>
  <si>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</si>
  <si>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</si>
  <si>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</si>
  <si>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</si>
  <si>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</si>
  <si>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</si>
  <si>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</si>
  <si>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</si>
  <si>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</si>
  <si>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</si>
  <si>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</si>
  <si>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</si>
  <si>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</si>
  <si>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</si>
  <si>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</si>
  <si>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</si>
  <si>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</si>
  <si>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</si>
  <si>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</si>
  <si>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</si>
  <si>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</si>
  <si>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</si>
  <si>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</si>
  <si>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</si>
  <si>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</si>
  <si>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</si>
  <si>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</si>
  <si>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</si>
  <si>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</si>
  <si>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</si>
  <si>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</si>
  <si>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</si>
  <si>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</si>
  <si>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</si>
  <si>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</si>
  <si>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</si>
  <si>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</si>
  <si>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</si>
  <si>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</si>
  <si>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</si>
  <si>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</si>
  <si>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</si>
  <si>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</si>
  <si>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</si>
  <si>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</si>
  <si>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</si>
  <si>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</si>
  <si>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</si>
  <si>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</si>
  <si>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</si>
  <si>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</si>
  <si>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</si>
  <si>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</si>
  <si>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</si>
  <si>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</si>
  <si>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</si>
  <si>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</si>
  <si>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</si>
  <si>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</si>
  <si>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>предоставляемых за счет субвенций из областного бюджета, на 2027 год</t>
  </si>
  <si>
    <t>РАСЧЕТ индекса налогового потенциала на 2027 год</t>
  </si>
  <si>
    <t>РАСЧЕТ индекса бюджетных расходов на 2027 год</t>
  </si>
  <si>
    <t>Численность постоянного населения на 01.01.2025, чел.</t>
  </si>
  <si>
    <t>Численность постоянного населения на 1.01.2025, чел.</t>
  </si>
  <si>
    <t xml:space="preserve">Доля налога в оценке ФОТ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</si>
</sst>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i/>
      <sz val="12"/>
      <color rgb="FFFF0000"/>
      <name val="Times New Roman Cyr"/>
      <charset val="204"/>
    </font>
    <font>
      <sz val="13"/>
      <color rgb="FFFF0000"/>
      <name val="Times New Roman Cyr"/>
      <family val="1"/>
      <charset val="204"/>
    </font>
    <font>
      <b/>
      <sz val="13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7" fillId="3" borderId="3" xfId="2" applyFont="1" applyFill="1" applyBorder="1" applyAlignment="1">
      <alignment horizontal="center"/>
    </xf>
    <xf numFmtId="0" fontId="37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8" fillId="0" borderId="3" xfId="2" applyFont="1" applyBorder="1" applyAlignment="1">
      <alignment horizontal="center"/>
    </xf>
    <xf numFmtId="0" fontId="38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0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8" fillId="0" borderId="1" xfId="2" applyFont="1" applyBorder="1" applyAlignment="1">
      <alignment horizontal="center"/>
    </xf>
    <xf numFmtId="0" fontId="38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1" fillId="0" borderId="1" xfId="2" applyNumberFormat="1" applyFont="1" applyBorder="1" applyProtection="1">
      <protection locked="0"/>
    </xf>
    <xf numFmtId="167" fontId="39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2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39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39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8" fontId="26" fillId="4" borderId="1" xfId="2" applyNumberFormat="1" applyFont="1" applyFill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4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39" fillId="6" borderId="3" xfId="2" applyNumberFormat="1" applyFont="1" applyFill="1" applyBorder="1" applyProtection="1">
      <protection locked="0"/>
    </xf>
    <xf numFmtId="167" fontId="45" fillId="0" borderId="0" xfId="2" applyNumberFormat="1" applyFont="1"/>
    <xf numFmtId="0" fontId="45" fillId="0" borderId="0" xfId="2" applyFont="1"/>
    <xf numFmtId="174" fontId="24" fillId="0" borderId="1" xfId="2" applyNumberFormat="1" applyFont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3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8" fillId="0" borderId="1" xfId="2" applyNumberFormat="1" applyFont="1" applyBorder="1"/>
    <xf numFmtId="171" fontId="5" fillId="0" borderId="1" xfId="2" applyNumberFormat="1" applyFont="1" applyBorder="1"/>
    <xf numFmtId="1" fontId="42" fillId="2" borderId="1" xfId="2" applyNumberFormat="1" applyFont="1" applyFill="1" applyBorder="1"/>
    <xf numFmtId="169" fontId="42" fillId="2" borderId="1" xfId="2" applyNumberFormat="1" applyFont="1" applyFill="1" applyBorder="1" applyAlignment="1">
      <alignment horizontal="center"/>
    </xf>
    <xf numFmtId="167" fontId="42" fillId="2" borderId="1" xfId="2" applyNumberFormat="1" applyFont="1" applyFill="1" applyBorder="1"/>
    <xf numFmtId="167" fontId="42" fillId="2" borderId="1" xfId="2" applyNumberFormat="1" applyFont="1" applyFill="1" applyBorder="1" applyAlignment="1">
      <alignment horizontal="center"/>
    </xf>
    <xf numFmtId="169" fontId="42" fillId="2" borderId="1" xfId="2" applyNumberFormat="1" applyFont="1" applyFill="1" applyBorder="1"/>
    <xf numFmtId="173" fontId="42" fillId="2" borderId="1" xfId="2" applyNumberFormat="1" applyFont="1" applyFill="1" applyBorder="1"/>
    <xf numFmtId="171" fontId="42" fillId="2" borderId="1" xfId="2" applyNumberFormat="1" applyFont="1" applyFill="1" applyBorder="1"/>
    <xf numFmtId="168" fontId="42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2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2" fillId="2" borderId="1" xfId="2" applyNumberFormat="1" applyFont="1" applyFill="1" applyBorder="1"/>
    <xf numFmtId="165" fontId="42" fillId="2" borderId="1" xfId="2" applyNumberFormat="1" applyFont="1" applyFill="1" applyBorder="1"/>
    <xf numFmtId="2" fontId="42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2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2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72" fontId="48" fillId="5" borderId="0" xfId="2" applyNumberFormat="1" applyFont="1" applyFill="1" applyAlignment="1">
      <alignment wrapText="1"/>
    </xf>
    <xf numFmtId="167" fontId="49" fillId="0" borderId="3" xfId="2" applyNumberFormat="1" applyFont="1" applyBorder="1"/>
    <xf numFmtId="167" fontId="50" fillId="2" borderId="1" xfId="2" applyNumberFormat="1" applyFont="1" applyFill="1" applyBorder="1"/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2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 applyProtection="1">
      <alignment horizontal="center" vertical="center" wrapText="1"/>
      <protection locked="0"/>
    </xf>
    <xf numFmtId="0" fontId="36" fillId="2" borderId="1" xfId="2" applyFont="1" applyFill="1" applyBorder="1" applyAlignment="1">
      <alignment horizontal="center" vertical="center" wrapText="1"/>
    </xf>
    <xf numFmtId="0" fontId="36" fillId="2" borderId="6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2" fillId="2" borderId="10" xfId="2" applyFont="1" applyFill="1" applyBorder="1" applyAlignment="1">
      <alignment horizontal="center"/>
    </xf>
    <xf numFmtId="0" fontId="42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L32" sqref="L32"/>
    </sheetView>
  </sheetViews>
  <sheetFormatPr defaultColWidth="8.83203125" defaultRowHeight="12.75" x14ac:dyDescent="0.2"/>
  <cols>
    <col min="1" max="1" width="5.1640625" style="1" customWidth="1"/>
    <col min="2" max="2" width="26.1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72"/>
      <c r="B2" s="172"/>
      <c r="C2" s="99" t="s">
        <v>98</v>
      </c>
      <c r="D2" s="97"/>
      <c r="E2" s="97"/>
      <c r="F2" s="97"/>
      <c r="G2" s="97"/>
      <c r="H2" s="97"/>
      <c r="J2" s="78">
        <f>(F23+L2)/F23</f>
        <v>1.0161550026067776</v>
      </c>
      <c r="L2" s="156">
        <v>2036.2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166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71" t="s">
        <v>1</v>
      </c>
      <c r="B7" s="171" t="s">
        <v>2</v>
      </c>
      <c r="C7" s="173" t="s">
        <v>169</v>
      </c>
      <c r="D7" s="171" t="s">
        <v>3</v>
      </c>
      <c r="E7" s="171" t="s">
        <v>22</v>
      </c>
      <c r="F7" s="171" t="s">
        <v>20</v>
      </c>
      <c r="G7" s="165" t="s">
        <v>23</v>
      </c>
      <c r="H7" s="171" t="s">
        <v>19</v>
      </c>
      <c r="I7" s="171" t="s">
        <v>104</v>
      </c>
      <c r="J7" s="171" t="s">
        <v>21</v>
      </c>
      <c r="K7" s="171" t="s">
        <v>101</v>
      </c>
      <c r="L7" s="6">
        <v>1</v>
      </c>
      <c r="M7" s="171" t="s">
        <v>149</v>
      </c>
      <c r="N7" s="165" t="s">
        <v>103</v>
      </c>
      <c r="O7" s="165" t="s">
        <v>105</v>
      </c>
    </row>
    <row r="8" spans="1:32" s="19" customFormat="1" ht="13.15" customHeight="1" x14ac:dyDescent="0.2">
      <c r="A8" s="171"/>
      <c r="B8" s="171"/>
      <c r="C8" s="173"/>
      <c r="D8" s="171"/>
      <c r="E8" s="171"/>
      <c r="F8" s="171"/>
      <c r="G8" s="165"/>
      <c r="H8" s="171"/>
      <c r="I8" s="171"/>
      <c r="J8" s="171"/>
      <c r="K8" s="171"/>
      <c r="L8" s="165" t="s">
        <v>102</v>
      </c>
      <c r="M8" s="171"/>
      <c r="N8" s="165"/>
      <c r="O8" s="165"/>
    </row>
    <row r="9" spans="1:32" s="19" customFormat="1" ht="112.5" customHeight="1" x14ac:dyDescent="0.2">
      <c r="A9" s="171"/>
      <c r="B9" s="171"/>
      <c r="C9" s="173"/>
      <c r="D9" s="171"/>
      <c r="E9" s="171"/>
      <c r="F9" s="171"/>
      <c r="G9" s="165"/>
      <c r="H9" s="171"/>
      <c r="I9" s="171"/>
      <c r="J9" s="171"/>
      <c r="K9" s="171"/>
      <c r="L9" s="166"/>
      <c r="M9" s="171"/>
      <c r="N9" s="165"/>
      <c r="O9" s="165"/>
    </row>
    <row r="10" spans="1:32" s="81" customFormat="1" ht="27.2" customHeight="1" x14ac:dyDescent="0.2">
      <c r="A10" s="167" t="s">
        <v>41</v>
      </c>
      <c r="B10" s="168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69"/>
      <c r="B11" s="170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2036.2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7">
        <v>23913</v>
      </c>
      <c r="D12" s="9">
        <f>ИНП2027!U9</f>
        <v>1.1742300000000001</v>
      </c>
      <c r="E12" s="9">
        <f>ИБР2027!AV9</f>
        <v>0.88358999999999999</v>
      </c>
      <c r="F12" s="151">
        <f>ИНП2027!T9</f>
        <v>106803.54326999999</v>
      </c>
      <c r="G12" s="152">
        <f>F12/E12</f>
        <v>120874.54958747835</v>
      </c>
      <c r="H12" s="14">
        <f>F12/C12</f>
        <v>4.4663381119056575</v>
      </c>
      <c r="I12" s="8">
        <f>D12/E12</f>
        <v>1.3289308389637728</v>
      </c>
      <c r="J12" s="101">
        <f>IF(I12&lt;$J$2,$J$2*($J$2-I12)*E12*C12,0)</f>
        <v>0</v>
      </c>
      <c r="K12" s="10">
        <f>J12/$J$23</f>
        <v>0</v>
      </c>
      <c r="L12" s="104">
        <f t="shared" ref="L12:L22" si="0">ROUND($L$11*K12/$K$23,0)</f>
        <v>0</v>
      </c>
      <c r="M12" s="8">
        <f>I12+L12/(C12*E12*$J$2)</f>
        <v>1.3289308389637728</v>
      </c>
      <c r="N12" s="154">
        <f>ROUND((G12+L12),1)</f>
        <v>120874.5</v>
      </c>
      <c r="O12" s="106">
        <f>ROUND(N12/C12,3)</f>
        <v>5.0549999999999997</v>
      </c>
    </row>
    <row r="13" spans="1:32" ht="16.5" x14ac:dyDescent="0.25">
      <c r="A13" s="93">
        <v>2</v>
      </c>
      <c r="B13" s="12" t="s">
        <v>151</v>
      </c>
      <c r="C13" s="157">
        <v>1137</v>
      </c>
      <c r="D13" s="9">
        <f>ИНП2027!U10</f>
        <v>0.46683999999999998</v>
      </c>
      <c r="E13" s="9">
        <f>ИБР2027!AV10</f>
        <v>1.30179</v>
      </c>
      <c r="F13" s="151">
        <f>ИНП2027!T10</f>
        <v>2018.9658960000002</v>
      </c>
      <c r="G13" s="152">
        <f t="shared" ref="G13:G20" si="1">F13/E13</f>
        <v>1550.9151983038739</v>
      </c>
      <c r="H13" s="14">
        <f t="shared" ref="H13:H20" si="2">F13/C13</f>
        <v>1.7756955989445911</v>
      </c>
      <c r="I13" s="8">
        <f t="shared" ref="I13:I22" si="3">D13/E13</f>
        <v>0.3586139085413162</v>
      </c>
      <c r="J13" s="101">
        <f t="shared" ref="J13:J22" si="4">IF(I13&lt;$J$2,$J$2*($J$2-I13)*E13*C13,0)</f>
        <v>988.97259056153075</v>
      </c>
      <c r="K13" s="10">
        <f t="shared" ref="K13:K22" si="5">J13/$J$23</f>
        <v>0.13623432110280445</v>
      </c>
      <c r="L13" s="104">
        <f>ROUND($L$11*K13/$K$23,1)</f>
        <v>277.39999999999998</v>
      </c>
      <c r="M13" s="8">
        <f t="shared" ref="M13:M22" si="6">I13+L13/(C13*E13*$J$2)</f>
        <v>0.54304965654338433</v>
      </c>
      <c r="N13" s="154">
        <f t="shared" ref="N13:N22" si="7">ROUND((G13+L13),1)</f>
        <v>1828.3</v>
      </c>
      <c r="O13" s="106">
        <f t="shared" ref="O13:O22" si="8">ROUND(N13/C13,3)</f>
        <v>1.6080000000000001</v>
      </c>
    </row>
    <row r="14" spans="1:32" ht="16.5" customHeight="1" x14ac:dyDescent="0.25">
      <c r="A14" s="93">
        <v>3</v>
      </c>
      <c r="B14" s="12" t="s">
        <v>152</v>
      </c>
      <c r="C14" s="157">
        <v>1323</v>
      </c>
      <c r="D14" s="9">
        <f>ИНП2027!U11</f>
        <v>0.86667000000000005</v>
      </c>
      <c r="E14" s="9">
        <f>ИБР2027!AV11</f>
        <v>1.30179</v>
      </c>
      <c r="F14" s="151">
        <f>ИНП2027!T11</f>
        <v>4361.2565140000006</v>
      </c>
      <c r="G14" s="152">
        <f t="shared" si="1"/>
        <v>3350.1997357484697</v>
      </c>
      <c r="H14" s="14">
        <f t="shared" si="2"/>
        <v>3.2964901844293277</v>
      </c>
      <c r="I14" s="8">
        <f t="shared" si="3"/>
        <v>0.66575254073237622</v>
      </c>
      <c r="J14" s="101">
        <f t="shared" si="4"/>
        <v>613.23634094354156</v>
      </c>
      <c r="K14" s="10">
        <f t="shared" si="5"/>
        <v>8.4475381199974192E-2</v>
      </c>
      <c r="L14" s="104">
        <f t="shared" ref="L14:L20" si="9">ROUND($L$11*K14/$K$23,1)</f>
        <v>172</v>
      </c>
      <c r="M14" s="8">
        <f t="shared" si="6"/>
        <v>0.76403312102164156</v>
      </c>
      <c r="N14" s="154">
        <f t="shared" si="7"/>
        <v>3522.2</v>
      </c>
      <c r="O14" s="106">
        <f t="shared" si="8"/>
        <v>2.6619999999999999</v>
      </c>
    </row>
    <row r="15" spans="1:32" s="13" customFormat="1" ht="16.5" customHeight="1" x14ac:dyDescent="0.25">
      <c r="A15" s="94">
        <v>4</v>
      </c>
      <c r="B15" s="12" t="s">
        <v>153</v>
      </c>
      <c r="C15" s="157">
        <v>704</v>
      </c>
      <c r="D15" s="9">
        <f>ИНП2027!U12</f>
        <v>0.68498999999999999</v>
      </c>
      <c r="E15" s="9">
        <f>ИБР2027!AV12</f>
        <v>1.30179</v>
      </c>
      <c r="F15" s="151">
        <f>ИНП2027!T12</f>
        <v>1834.2320999999999</v>
      </c>
      <c r="G15" s="152">
        <f t="shared" si="1"/>
        <v>1409.0076740488096</v>
      </c>
      <c r="H15" s="14">
        <f t="shared" si="2"/>
        <v>2.6054433238636361</v>
      </c>
      <c r="I15" s="21">
        <f t="shared" si="3"/>
        <v>0.52619086027700324</v>
      </c>
      <c r="J15" s="101">
        <f t="shared" si="4"/>
        <v>456.28673936023932</v>
      </c>
      <c r="K15" s="10">
        <f t="shared" si="5"/>
        <v>6.2855042453360058E-2</v>
      </c>
      <c r="L15" s="104">
        <f t="shared" si="9"/>
        <v>128</v>
      </c>
      <c r="M15" s="8">
        <f t="shared" si="6"/>
        <v>0.66363822573440079</v>
      </c>
      <c r="N15" s="154">
        <f t="shared" si="7"/>
        <v>1537</v>
      </c>
      <c r="O15" s="106">
        <f t="shared" si="8"/>
        <v>2.1829999999999998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7">
        <v>1077</v>
      </c>
      <c r="D16" s="9">
        <f>ИНП2027!U13</f>
        <v>0.67290000000000005</v>
      </c>
      <c r="E16" s="9">
        <f>ИБР2027!AV13</f>
        <v>1.30179</v>
      </c>
      <c r="F16" s="151">
        <f>ИНП2027!T13</f>
        <v>2756.572678</v>
      </c>
      <c r="G16" s="152">
        <f t="shared" si="1"/>
        <v>2117.524852702817</v>
      </c>
      <c r="H16" s="14">
        <f t="shared" si="2"/>
        <v>2.5594918087279481</v>
      </c>
      <c r="I16" s="21">
        <f t="shared" si="3"/>
        <v>0.5169036480538336</v>
      </c>
      <c r="J16" s="101">
        <f t="shared" si="4"/>
        <v>711.27221823050434</v>
      </c>
      <c r="K16" s="10">
        <f t="shared" si="5"/>
        <v>9.7980155056572052E-2</v>
      </c>
      <c r="L16" s="104">
        <f t="shared" si="9"/>
        <v>199.5</v>
      </c>
      <c r="M16" s="8">
        <f t="shared" si="6"/>
        <v>0.65693533027122397</v>
      </c>
      <c r="N16" s="154">
        <f t="shared" si="7"/>
        <v>2317</v>
      </c>
      <c r="O16" s="106">
        <f t="shared" si="8"/>
        <v>2.1509999999999998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7">
        <v>1458</v>
      </c>
      <c r="D17" s="9">
        <f>ИНП2027!U14</f>
        <v>0.68869999999999998</v>
      </c>
      <c r="E17" s="9">
        <f>ИБР2027!AV14</f>
        <v>1.30179</v>
      </c>
      <c r="F17" s="151">
        <f>ИНП2027!T14</f>
        <v>3819.3203000000003</v>
      </c>
      <c r="G17" s="152">
        <f t="shared" si="1"/>
        <v>2933.8989391530126</v>
      </c>
      <c r="H17" s="14">
        <f t="shared" si="2"/>
        <v>2.6195612482853226</v>
      </c>
      <c r="I17" s="21">
        <f t="shared" si="3"/>
        <v>0.52904078230743823</v>
      </c>
      <c r="J17" s="101">
        <f t="shared" si="4"/>
        <v>939.48364205122243</v>
      </c>
      <c r="K17" s="10">
        <f t="shared" si="5"/>
        <v>0.12941705097141951</v>
      </c>
      <c r="L17" s="104">
        <f t="shared" si="9"/>
        <v>263.5</v>
      </c>
      <c r="M17" s="8">
        <f t="shared" si="6"/>
        <v>0.66566327502975198</v>
      </c>
      <c r="N17" s="154">
        <f t="shared" si="7"/>
        <v>3197.4</v>
      </c>
      <c r="O17" s="106">
        <f t="shared" si="8"/>
        <v>2.1930000000000001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7">
        <v>1374</v>
      </c>
      <c r="D18" s="9">
        <f>ИНП2027!U15</f>
        <v>0.28232000000000002</v>
      </c>
      <c r="E18" s="9">
        <f>ИБР2027!AV15</f>
        <v>1.30179</v>
      </c>
      <c r="F18" s="151">
        <f>ИНП2027!T15</f>
        <v>1475.485844</v>
      </c>
      <c r="G18" s="152">
        <f t="shared" si="1"/>
        <v>1133.4284669570361</v>
      </c>
      <c r="H18" s="14">
        <f t="shared" si="2"/>
        <v>1.0738616040756914</v>
      </c>
      <c r="I18" s="21">
        <f t="shared" si="3"/>
        <v>0.21687061661251048</v>
      </c>
      <c r="J18" s="101">
        <f t="shared" si="4"/>
        <v>1452.7435385921608</v>
      </c>
      <c r="K18" s="10">
        <f t="shared" si="5"/>
        <v>0.20012033862760048</v>
      </c>
      <c r="L18" s="104">
        <f t="shared" si="9"/>
        <v>407.5</v>
      </c>
      <c r="M18" s="8">
        <f t="shared" si="6"/>
        <v>0.44107287849853105</v>
      </c>
      <c r="N18" s="154">
        <f t="shared" si="7"/>
        <v>1540.9</v>
      </c>
      <c r="O18" s="106">
        <f t="shared" si="8"/>
        <v>1.121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7">
        <v>1261</v>
      </c>
      <c r="D19" s="9">
        <f>ИНП2027!U16</f>
        <v>0.27950000000000003</v>
      </c>
      <c r="E19" s="9">
        <f>ИБР2027!AV16</f>
        <v>1.30179</v>
      </c>
      <c r="F19" s="151">
        <f>ИНП2027!T16</f>
        <v>1340.5916</v>
      </c>
      <c r="G19" s="152">
        <f t="shared" si="1"/>
        <v>1029.8063435730801</v>
      </c>
      <c r="H19" s="14">
        <f t="shared" si="2"/>
        <v>1.0631178429817605</v>
      </c>
      <c r="I19" s="21">
        <f t="shared" si="3"/>
        <v>0.21470436860015826</v>
      </c>
      <c r="J19" s="101">
        <f t="shared" si="4"/>
        <v>1336.8810091169655</v>
      </c>
      <c r="K19" s="10">
        <f t="shared" si="5"/>
        <v>0.18415988310542608</v>
      </c>
      <c r="L19" s="104">
        <f t="shared" si="9"/>
        <v>375</v>
      </c>
      <c r="M19" s="8">
        <f t="shared" si="6"/>
        <v>0.4395141951313894</v>
      </c>
      <c r="N19" s="154">
        <f t="shared" si="7"/>
        <v>1404.8</v>
      </c>
      <c r="O19" s="106">
        <f t="shared" si="8"/>
        <v>1.1140000000000001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7">
        <v>890</v>
      </c>
      <c r="D20" s="9">
        <f>ИНП2027!U17</f>
        <v>0.48193999999999998</v>
      </c>
      <c r="E20" s="9">
        <f>ИБР2027!AV17</f>
        <v>1.30179</v>
      </c>
      <c r="F20" s="151">
        <f>ИНП2027!T17</f>
        <v>1631.484688</v>
      </c>
      <c r="G20" s="152">
        <f t="shared" si="1"/>
        <v>1253.262575376981</v>
      </c>
      <c r="H20" s="14">
        <f t="shared" si="2"/>
        <v>1.8331288629213482</v>
      </c>
      <c r="I20" s="21">
        <f t="shared" si="3"/>
        <v>0.37021332165710291</v>
      </c>
      <c r="J20" s="101">
        <f t="shared" si="4"/>
        <v>760.47371314843065</v>
      </c>
      <c r="K20" s="10">
        <f t="shared" si="5"/>
        <v>0.10475782748284314</v>
      </c>
      <c r="L20" s="104">
        <f t="shared" si="9"/>
        <v>213.3</v>
      </c>
      <c r="M20" s="8">
        <f t="shared" si="6"/>
        <v>0.55138902591142425</v>
      </c>
      <c r="N20" s="154">
        <f t="shared" si="7"/>
        <v>1466.6</v>
      </c>
      <c r="O20" s="106">
        <f t="shared" si="8"/>
        <v>1.6479999999999999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57">
        <f>ИНП2027!C18</f>
        <v>0</v>
      </c>
      <c r="D21" s="9">
        <f>ИНП2027!U18</f>
        <v>0</v>
      </c>
      <c r="E21" s="9">
        <f>ИБР2027!AV18</f>
        <v>0</v>
      </c>
      <c r="F21" s="11">
        <f>ИНП2027!T18</f>
        <v>0</v>
      </c>
      <c r="G21" s="150" t="e">
        <f t="shared" ref="G21:G22" si="10">F21/C21</f>
        <v>#DIV/0!</v>
      </c>
      <c r="H21" s="20" t="e">
        <f t="shared" ref="H21:H22" si="11">F21/C21</f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5" t="e">
        <f t="shared" si="0"/>
        <v>#DIV/0!</v>
      </c>
      <c r="M21" s="8" t="e">
        <f t="shared" si="6"/>
        <v>#DIV/0!</v>
      </c>
      <c r="N21" s="154" t="e">
        <f t="shared" si="7"/>
        <v>#DIV/0!</v>
      </c>
      <c r="O21" s="106" t="e">
        <f t="shared" si="8"/>
        <v>#DIV/0!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57">
        <f>ИНП2027!C19</f>
        <v>0</v>
      </c>
      <c r="D22" s="9">
        <f>ИНП2027!U19</f>
        <v>0</v>
      </c>
      <c r="E22" s="9">
        <f>ИБР2027!AV19</f>
        <v>0</v>
      </c>
      <c r="F22" s="11">
        <f>ИНП2027!T19</f>
        <v>0</v>
      </c>
      <c r="G22" s="150" t="e">
        <f t="shared" si="10"/>
        <v>#DIV/0!</v>
      </c>
      <c r="H22" s="20" t="e">
        <f t="shared" si="11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5" t="e">
        <f t="shared" si="0"/>
        <v>#DIV/0!</v>
      </c>
      <c r="M22" s="8" t="e">
        <f t="shared" si="6"/>
        <v>#DIV/0!</v>
      </c>
      <c r="N22" s="154" t="e">
        <f t="shared" si="7"/>
        <v>#DIV/0!</v>
      </c>
      <c r="O22" s="106" t="e">
        <f t="shared" si="8"/>
        <v>#DIV/0!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4" t="s">
        <v>0</v>
      </c>
      <c r="B23" s="164"/>
      <c r="C23" s="158">
        <f>SUM(C12:C22)</f>
        <v>33137</v>
      </c>
      <c r="D23" s="103">
        <f>ИНП2027!U20</f>
        <v>1</v>
      </c>
      <c r="E23" s="103">
        <f>ИБР2027!AV20</f>
        <v>1</v>
      </c>
      <c r="F23" s="155">
        <f>SUM(F12:F22)</f>
        <v>126041.45288999997</v>
      </c>
      <c r="G23" s="153">
        <f>AVERAGE(G12:G20)</f>
        <v>15072.510374815827</v>
      </c>
      <c r="H23" s="18">
        <f>AVERAGE(H12:H20)</f>
        <v>2.365903176237254</v>
      </c>
      <c r="I23" s="17">
        <f>AVERAGE(I12:I20)</f>
        <v>0.52524676508283474</v>
      </c>
      <c r="J23" s="16">
        <f>SUM(J12:J20)</f>
        <v>7259.3497920045957</v>
      </c>
      <c r="K23" s="102">
        <f>SUM(K12:K20)</f>
        <v>0.99999999999999989</v>
      </c>
      <c r="L23" s="16">
        <f>SUM(L12:L20)</f>
        <v>2036.2</v>
      </c>
      <c r="M23" s="17">
        <f>AVERAGE(M12:M20)</f>
        <v>0.67269183856727999</v>
      </c>
      <c r="N23" s="155">
        <f>SUM(N12:N20)</f>
        <v>137688.69999999998</v>
      </c>
      <c r="O23" s="17">
        <f>AVERAGE(O12:O20)</f>
        <v>2.1927777777777777</v>
      </c>
    </row>
    <row r="24" spans="1:32" x14ac:dyDescent="0.2">
      <c r="J24" s="3"/>
    </row>
    <row r="25" spans="1:32" x14ac:dyDescent="0.2">
      <c r="L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R10" activePane="bottomRight" state="frozen"/>
      <selection activeCell="G21" sqref="G21"/>
      <selection pane="topRight" activeCell="G21" sqref="G21"/>
      <selection pane="bottomLeft" activeCell="G21" sqref="G21"/>
      <selection pane="bottomRight" activeCell="Q17" sqref="Q17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" style="1" customWidth="1"/>
    <col min="5" max="5" width="14" style="1" customWidth="1"/>
    <col min="6" max="6" width="13.5" style="1" customWidth="1"/>
    <col min="7" max="7" width="14.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167</v>
      </c>
    </row>
    <row r="3" spans="1:23" x14ac:dyDescent="0.2">
      <c r="A3" s="2" t="s">
        <v>9</v>
      </c>
    </row>
    <row r="4" spans="1:23" ht="28.5" customHeight="1" x14ac:dyDescent="0.2">
      <c r="A4" s="171" t="s">
        <v>1</v>
      </c>
      <c r="B4" s="171" t="s">
        <v>43</v>
      </c>
      <c r="C4" s="173" t="s">
        <v>169</v>
      </c>
      <c r="D4" s="175" t="s">
        <v>6</v>
      </c>
      <c r="E4" s="175"/>
      <c r="F4" s="175"/>
      <c r="G4" s="175"/>
      <c r="H4" s="175" t="s">
        <v>48</v>
      </c>
      <c r="I4" s="175"/>
      <c r="J4" s="175"/>
      <c r="K4" s="175"/>
      <c r="L4" s="175" t="s">
        <v>16</v>
      </c>
      <c r="M4" s="175"/>
      <c r="N4" s="175"/>
      <c r="O4" s="175"/>
      <c r="P4" s="175" t="s">
        <v>52</v>
      </c>
      <c r="Q4" s="175"/>
      <c r="R4" s="175"/>
      <c r="S4" s="175"/>
      <c r="T4" s="175" t="s">
        <v>14</v>
      </c>
      <c r="U4" s="175" t="s">
        <v>11</v>
      </c>
    </row>
    <row r="5" spans="1:23" ht="13.15" customHeight="1" x14ac:dyDescent="0.2">
      <c r="A5" s="171"/>
      <c r="B5" s="171"/>
      <c r="C5" s="173"/>
      <c r="D5" s="174" t="s">
        <v>33</v>
      </c>
      <c r="E5" s="174" t="s">
        <v>171</v>
      </c>
      <c r="F5" s="174" t="s">
        <v>46</v>
      </c>
      <c r="G5" s="175" t="s">
        <v>15</v>
      </c>
      <c r="H5" s="174" t="s">
        <v>49</v>
      </c>
      <c r="I5" s="171" t="s">
        <v>54</v>
      </c>
      <c r="J5" s="174" t="s">
        <v>46</v>
      </c>
      <c r="K5" s="175" t="s">
        <v>15</v>
      </c>
      <c r="L5" s="174" t="s">
        <v>50</v>
      </c>
      <c r="M5" s="174" t="s">
        <v>35</v>
      </c>
      <c r="N5" s="174" t="s">
        <v>51</v>
      </c>
      <c r="O5" s="175" t="s">
        <v>15</v>
      </c>
      <c r="P5" s="179" t="s">
        <v>49</v>
      </c>
      <c r="Q5" s="171" t="s">
        <v>53</v>
      </c>
      <c r="R5" s="174" t="s">
        <v>51</v>
      </c>
      <c r="S5" s="175" t="s">
        <v>15</v>
      </c>
      <c r="T5" s="175"/>
      <c r="U5" s="175"/>
    </row>
    <row r="6" spans="1:23" ht="84" customHeight="1" x14ac:dyDescent="0.2">
      <c r="A6" s="171"/>
      <c r="B6" s="171"/>
      <c r="C6" s="173"/>
      <c r="D6" s="174"/>
      <c r="E6" s="174"/>
      <c r="F6" s="174"/>
      <c r="G6" s="175"/>
      <c r="H6" s="174"/>
      <c r="I6" s="171"/>
      <c r="J6" s="174"/>
      <c r="K6" s="175"/>
      <c r="L6" s="174"/>
      <c r="M6" s="174"/>
      <c r="N6" s="174"/>
      <c r="O6" s="175"/>
      <c r="P6" s="179"/>
      <c r="Q6" s="171"/>
      <c r="R6" s="174"/>
      <c r="S6" s="175"/>
      <c r="T6" s="175"/>
      <c r="U6" s="175"/>
    </row>
    <row r="7" spans="1:23" s="19" customFormat="1" ht="28.5" customHeight="1" x14ac:dyDescent="0.2">
      <c r="A7" s="178" t="s">
        <v>41</v>
      </c>
      <c r="B7" s="178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7"/>
      <c r="B8" s="177"/>
      <c r="C8" s="119" t="s">
        <v>40</v>
      </c>
      <c r="D8" s="31"/>
      <c r="E8" s="119"/>
      <c r="F8" s="119" t="s">
        <v>34</v>
      </c>
      <c r="G8" s="31"/>
      <c r="H8" s="31"/>
      <c r="I8" s="31"/>
      <c r="J8" s="119" t="s">
        <v>34</v>
      </c>
      <c r="K8" s="22"/>
      <c r="L8" s="31"/>
      <c r="M8" s="119" t="s">
        <v>34</v>
      </c>
      <c r="N8" s="119" t="s">
        <v>34</v>
      </c>
      <c r="O8" s="31"/>
      <c r="P8" s="31"/>
      <c r="Q8" s="31"/>
      <c r="R8" s="119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7">
        <v>23913</v>
      </c>
      <c r="D9" s="159">
        <v>3875343</v>
      </c>
      <c r="E9" s="160">
        <v>0.16889999999999999</v>
      </c>
      <c r="F9" s="26">
        <v>0.1</v>
      </c>
      <c r="G9" s="163">
        <f>D9*E9*10%</f>
        <v>65454.543270000002</v>
      </c>
      <c r="H9" s="161">
        <v>23129</v>
      </c>
      <c r="I9" s="32">
        <v>0</v>
      </c>
      <c r="J9" s="26">
        <v>1</v>
      </c>
      <c r="K9" s="27">
        <f>ROUND((H9+I9)*J9,0)</f>
        <v>23129</v>
      </c>
      <c r="L9" s="161">
        <v>17211</v>
      </c>
      <c r="M9" s="26">
        <v>0.06</v>
      </c>
      <c r="N9" s="26">
        <v>0.5</v>
      </c>
      <c r="O9" s="27">
        <f>ROUND(L9*M9*N9,0)</f>
        <v>516</v>
      </c>
      <c r="P9" s="162">
        <v>16048</v>
      </c>
      <c r="Q9" s="162">
        <v>1656</v>
      </c>
      <c r="R9" s="26">
        <v>1</v>
      </c>
      <c r="S9" s="27">
        <f>ROUND((P9+Q9)*R9,0)</f>
        <v>17704</v>
      </c>
      <c r="T9" s="27">
        <f>G9+K9+O9+S9</f>
        <v>106803.54326999999</v>
      </c>
      <c r="U9" s="28">
        <f>ROUND((T9/C9)/($T$20/$C$20),5)</f>
        <v>1.1742300000000001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7">
        <v>1137</v>
      </c>
      <c r="D10" s="159">
        <v>39463</v>
      </c>
      <c r="E10" s="160">
        <v>0.15959999999999999</v>
      </c>
      <c r="F10" s="26">
        <v>0.02</v>
      </c>
      <c r="G10" s="163">
        <f t="shared" ref="G10:G17" si="0">D10*E10*F10</f>
        <v>125.965896</v>
      </c>
      <c r="H10" s="161">
        <v>639</v>
      </c>
      <c r="I10" s="32">
        <v>0</v>
      </c>
      <c r="J10" s="26">
        <v>1</v>
      </c>
      <c r="K10" s="27">
        <f t="shared" ref="K10:K19" si="1">ROUND((H10+I10)*J10,0)</f>
        <v>639</v>
      </c>
      <c r="L10" s="161"/>
      <c r="M10" s="26">
        <v>0.06</v>
      </c>
      <c r="N10" s="26">
        <v>0.3</v>
      </c>
      <c r="O10" s="27">
        <f t="shared" ref="O10:O19" si="2">ROUND(L10*M10*N10,0)</f>
        <v>0</v>
      </c>
      <c r="P10" s="162">
        <v>972</v>
      </c>
      <c r="Q10" s="162">
        <v>282</v>
      </c>
      <c r="R10" s="26">
        <v>1</v>
      </c>
      <c r="S10" s="27">
        <f t="shared" ref="S10:S19" si="3">ROUND((P10+Q10)*R10,0)</f>
        <v>1254</v>
      </c>
      <c r="T10" s="27">
        <f t="shared" ref="T10:T19" si="4">G10+K10+O10+S10</f>
        <v>2018.9658960000002</v>
      </c>
      <c r="U10" s="28">
        <f t="shared" ref="U10:U17" si="5">ROUND((T10/C10)/($T$20/$C$20),5)</f>
        <v>0.46683999999999998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7">
        <v>1323</v>
      </c>
      <c r="D11" s="159">
        <v>584523</v>
      </c>
      <c r="E11" s="160">
        <v>0.18590000000000001</v>
      </c>
      <c r="F11" s="26">
        <v>0.02</v>
      </c>
      <c r="G11" s="163">
        <f t="shared" si="0"/>
        <v>2173.2565140000002</v>
      </c>
      <c r="H11" s="161">
        <v>330</v>
      </c>
      <c r="I11" s="32">
        <v>0</v>
      </c>
      <c r="J11" s="26">
        <v>1</v>
      </c>
      <c r="K11" s="27">
        <f t="shared" si="1"/>
        <v>330</v>
      </c>
      <c r="L11" s="161"/>
      <c r="M11" s="26">
        <v>0.06</v>
      </c>
      <c r="N11" s="26">
        <v>0.3</v>
      </c>
      <c r="O11" s="27">
        <f t="shared" si="2"/>
        <v>0</v>
      </c>
      <c r="P11" s="162">
        <v>1527</v>
      </c>
      <c r="Q11" s="162">
        <v>331</v>
      </c>
      <c r="R11" s="26">
        <v>1</v>
      </c>
      <c r="S11" s="27">
        <f t="shared" si="3"/>
        <v>1858</v>
      </c>
      <c r="T11" s="27">
        <f t="shared" si="4"/>
        <v>4361.2565140000006</v>
      </c>
      <c r="U11" s="28">
        <f t="shared" si="5"/>
        <v>0.86667000000000005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7">
        <v>704</v>
      </c>
      <c r="D12" s="159">
        <v>19574</v>
      </c>
      <c r="E12" s="160">
        <v>0.20749999999999999</v>
      </c>
      <c r="F12" s="26">
        <v>0.02</v>
      </c>
      <c r="G12" s="163">
        <f t="shared" si="0"/>
        <v>81.232100000000003</v>
      </c>
      <c r="H12" s="161">
        <v>576</v>
      </c>
      <c r="I12" s="32">
        <v>0</v>
      </c>
      <c r="J12" s="26">
        <v>1</v>
      </c>
      <c r="K12" s="27">
        <f t="shared" si="1"/>
        <v>576</v>
      </c>
      <c r="L12" s="161"/>
      <c r="M12" s="26">
        <v>0.06</v>
      </c>
      <c r="N12" s="26">
        <v>0.3</v>
      </c>
      <c r="O12" s="27">
        <f t="shared" si="2"/>
        <v>0</v>
      </c>
      <c r="P12" s="162">
        <v>901</v>
      </c>
      <c r="Q12" s="162">
        <v>276</v>
      </c>
      <c r="R12" s="26">
        <v>1</v>
      </c>
      <c r="S12" s="27">
        <f t="shared" si="3"/>
        <v>1177</v>
      </c>
      <c r="T12" s="27">
        <f t="shared" si="4"/>
        <v>1834.2320999999999</v>
      </c>
      <c r="U12" s="28">
        <f t="shared" si="5"/>
        <v>0.68498999999999999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7">
        <v>1077</v>
      </c>
      <c r="D13" s="159">
        <v>246937</v>
      </c>
      <c r="E13" s="160">
        <v>0.19470000000000001</v>
      </c>
      <c r="F13" s="26">
        <v>0.02</v>
      </c>
      <c r="G13" s="163">
        <f t="shared" si="0"/>
        <v>961.572678</v>
      </c>
      <c r="H13" s="161">
        <v>260</v>
      </c>
      <c r="I13" s="32">
        <v>0</v>
      </c>
      <c r="J13" s="26">
        <v>1</v>
      </c>
      <c r="K13" s="27">
        <f t="shared" si="1"/>
        <v>260</v>
      </c>
      <c r="L13" s="161"/>
      <c r="M13" s="26">
        <v>0.06</v>
      </c>
      <c r="N13" s="26">
        <v>0.3</v>
      </c>
      <c r="O13" s="27">
        <f t="shared" si="2"/>
        <v>0</v>
      </c>
      <c r="P13" s="162">
        <v>1214</v>
      </c>
      <c r="Q13" s="162">
        <v>321</v>
      </c>
      <c r="R13" s="26">
        <v>1</v>
      </c>
      <c r="S13" s="27">
        <f t="shared" si="3"/>
        <v>1535</v>
      </c>
      <c r="T13" s="27">
        <f t="shared" si="4"/>
        <v>2756.572678</v>
      </c>
      <c r="U13" s="28">
        <f t="shared" si="5"/>
        <v>0.67290000000000005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7">
        <v>1458</v>
      </c>
      <c r="D14" s="159">
        <v>382519</v>
      </c>
      <c r="E14" s="160">
        <v>0.185</v>
      </c>
      <c r="F14" s="26">
        <v>0.02</v>
      </c>
      <c r="G14" s="163">
        <f t="shared" si="0"/>
        <v>1415.3203000000001</v>
      </c>
      <c r="H14" s="161">
        <v>433</v>
      </c>
      <c r="I14" s="32">
        <v>0</v>
      </c>
      <c r="J14" s="26">
        <v>1</v>
      </c>
      <c r="K14" s="27">
        <f t="shared" si="1"/>
        <v>433</v>
      </c>
      <c r="L14" s="161"/>
      <c r="M14" s="26">
        <v>0.06</v>
      </c>
      <c r="N14" s="26">
        <v>0.3</v>
      </c>
      <c r="O14" s="27">
        <f t="shared" si="2"/>
        <v>0</v>
      </c>
      <c r="P14" s="162">
        <v>1704</v>
      </c>
      <c r="Q14" s="162">
        <v>267</v>
      </c>
      <c r="R14" s="26">
        <v>1</v>
      </c>
      <c r="S14" s="27">
        <f t="shared" si="3"/>
        <v>1971</v>
      </c>
      <c r="T14" s="27">
        <f t="shared" si="4"/>
        <v>3819.3203000000003</v>
      </c>
      <c r="U14" s="28">
        <f t="shared" si="5"/>
        <v>0.68869999999999998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7">
        <v>1374</v>
      </c>
      <c r="D15" s="159">
        <v>39463</v>
      </c>
      <c r="E15" s="160">
        <v>0.18940000000000001</v>
      </c>
      <c r="F15" s="26">
        <v>0.02</v>
      </c>
      <c r="G15" s="163">
        <f t="shared" si="0"/>
        <v>149.48584400000001</v>
      </c>
      <c r="H15" s="161">
        <v>180</v>
      </c>
      <c r="I15" s="32">
        <v>0</v>
      </c>
      <c r="J15" s="26">
        <v>1</v>
      </c>
      <c r="K15" s="27">
        <f t="shared" si="1"/>
        <v>180</v>
      </c>
      <c r="L15" s="161"/>
      <c r="M15" s="26">
        <v>0.06</v>
      </c>
      <c r="N15" s="26">
        <v>0.3</v>
      </c>
      <c r="O15" s="27">
        <f t="shared" si="2"/>
        <v>0</v>
      </c>
      <c r="P15" s="162">
        <v>872</v>
      </c>
      <c r="Q15" s="162">
        <v>274</v>
      </c>
      <c r="R15" s="26">
        <v>1</v>
      </c>
      <c r="S15" s="27">
        <f t="shared" si="3"/>
        <v>1146</v>
      </c>
      <c r="T15" s="27">
        <f t="shared" si="4"/>
        <v>1475.485844</v>
      </c>
      <c r="U15" s="28">
        <f t="shared" si="5"/>
        <v>0.28232000000000002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7">
        <v>1261</v>
      </c>
      <c r="D16" s="159">
        <v>37900</v>
      </c>
      <c r="E16" s="160">
        <v>0.1802</v>
      </c>
      <c r="F16" s="26">
        <v>0.02</v>
      </c>
      <c r="G16" s="163">
        <f t="shared" si="0"/>
        <v>136.5916</v>
      </c>
      <c r="H16" s="161">
        <v>465</v>
      </c>
      <c r="I16" s="32">
        <v>0</v>
      </c>
      <c r="J16" s="26">
        <v>1</v>
      </c>
      <c r="K16" s="27">
        <f t="shared" si="1"/>
        <v>465</v>
      </c>
      <c r="L16" s="161"/>
      <c r="M16" s="26">
        <v>0.06</v>
      </c>
      <c r="N16" s="26">
        <v>0.3</v>
      </c>
      <c r="O16" s="27">
        <f t="shared" si="2"/>
        <v>0</v>
      </c>
      <c r="P16" s="162">
        <v>588</v>
      </c>
      <c r="Q16" s="162">
        <v>151</v>
      </c>
      <c r="R16" s="26">
        <v>1</v>
      </c>
      <c r="S16" s="27">
        <f t="shared" si="3"/>
        <v>739</v>
      </c>
      <c r="T16" s="27">
        <f t="shared" si="4"/>
        <v>1340.5916</v>
      </c>
      <c r="U16" s="28">
        <f t="shared" si="5"/>
        <v>0.27950000000000003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7">
        <v>890</v>
      </c>
      <c r="D17" s="159">
        <v>47278</v>
      </c>
      <c r="E17" s="160">
        <v>0.3548</v>
      </c>
      <c r="F17" s="26">
        <v>0.02</v>
      </c>
      <c r="G17" s="163">
        <f t="shared" si="0"/>
        <v>335.48468800000001</v>
      </c>
      <c r="H17" s="161">
        <v>162</v>
      </c>
      <c r="I17" s="32">
        <v>0</v>
      </c>
      <c r="J17" s="26">
        <v>1</v>
      </c>
      <c r="K17" s="27">
        <f t="shared" si="1"/>
        <v>162</v>
      </c>
      <c r="L17" s="161"/>
      <c r="M17" s="26">
        <v>0.06</v>
      </c>
      <c r="N17" s="26">
        <v>0.3</v>
      </c>
      <c r="O17" s="27">
        <f t="shared" si="2"/>
        <v>0</v>
      </c>
      <c r="P17" s="162">
        <v>918</v>
      </c>
      <c r="Q17" s="162">
        <v>216</v>
      </c>
      <c r="R17" s="26">
        <v>1</v>
      </c>
      <c r="S17" s="27">
        <f t="shared" si="3"/>
        <v>1134</v>
      </c>
      <c r="T17" s="27">
        <f t="shared" si="4"/>
        <v>1631.484688</v>
      </c>
      <c r="U17" s="28">
        <f t="shared" si="5"/>
        <v>0.48193999999999998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49"/>
      <c r="F18" s="26"/>
      <c r="G18" s="163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49"/>
      <c r="F19" s="26"/>
      <c r="G19" s="163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6" t="s">
        <v>0</v>
      </c>
      <c r="B20" s="176"/>
      <c r="C20" s="132">
        <f>SUM(C9:C19)</f>
        <v>33137</v>
      </c>
      <c r="D20" s="127">
        <f>SUM(D9:D19)</f>
        <v>5273000</v>
      </c>
      <c r="E20" s="128"/>
      <c r="F20" s="128" t="s">
        <v>7</v>
      </c>
      <c r="G20" s="127">
        <f>SUM(G9:G19)</f>
        <v>70833.452889999986</v>
      </c>
      <c r="H20" s="127">
        <f>SUM(H9:H19)</f>
        <v>26174</v>
      </c>
      <c r="I20" s="127">
        <f>SUM(I9:I19)</f>
        <v>0</v>
      </c>
      <c r="J20" s="128" t="s">
        <v>7</v>
      </c>
      <c r="K20" s="127">
        <f>SUM(K9:K19)</f>
        <v>26174</v>
      </c>
      <c r="L20" s="127">
        <f>SUM(L9:L19)</f>
        <v>17211</v>
      </c>
      <c r="M20" s="128" t="s">
        <v>7</v>
      </c>
      <c r="N20" s="128" t="s">
        <v>7</v>
      </c>
      <c r="O20" s="127">
        <f>SUM(O9:O19)</f>
        <v>516</v>
      </c>
      <c r="P20" s="127">
        <f t="shared" ref="P20:Q20" si="7">SUM(P9:P19)</f>
        <v>24744</v>
      </c>
      <c r="Q20" s="127">
        <f t="shared" si="7"/>
        <v>3774</v>
      </c>
      <c r="R20" s="128" t="s">
        <v>7</v>
      </c>
      <c r="S20" s="127">
        <f>SUM(S9:S19)</f>
        <v>28518</v>
      </c>
      <c r="T20" s="127">
        <f>SUM(T9:T19)</f>
        <v>126041.45288999997</v>
      </c>
      <c r="U20" s="133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F56" sqref="F5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10">
        <v>1</v>
      </c>
      <c r="F3" s="36"/>
      <c r="G3" s="36"/>
      <c r="H3" s="36"/>
      <c r="I3" s="110">
        <f>E3+1</f>
        <v>2</v>
      </c>
      <c r="J3" s="35"/>
      <c r="K3" s="35"/>
      <c r="L3" s="110">
        <f>I3+1</f>
        <v>3</v>
      </c>
      <c r="M3" s="36"/>
      <c r="N3" s="110">
        <f>L3+1</f>
        <v>4</v>
      </c>
      <c r="O3" s="36"/>
      <c r="P3" s="110">
        <f>N3+1</f>
        <v>5</v>
      </c>
      <c r="Q3" s="36"/>
      <c r="R3" s="110">
        <f>P3+1</f>
        <v>6</v>
      </c>
      <c r="S3" s="36"/>
      <c r="T3" s="110">
        <f>R3+1</f>
        <v>7</v>
      </c>
      <c r="U3" s="36"/>
      <c r="V3" s="110">
        <f>T3+1</f>
        <v>8</v>
      </c>
      <c r="W3" s="36"/>
      <c r="X3" s="110">
        <f>V3+1</f>
        <v>9</v>
      </c>
      <c r="Y3" s="36"/>
      <c r="Z3" s="110">
        <f>X3+1</f>
        <v>10</v>
      </c>
      <c r="AA3" s="36"/>
      <c r="AB3" s="110">
        <f>Z3+1</f>
        <v>11</v>
      </c>
      <c r="AC3" s="36"/>
      <c r="AD3" s="110">
        <f>AB3+1</f>
        <v>12</v>
      </c>
      <c r="AE3" s="110">
        <f>AD3+1</f>
        <v>13</v>
      </c>
      <c r="AF3" s="110">
        <f>AE3+1</f>
        <v>14</v>
      </c>
      <c r="AG3" s="36"/>
      <c r="AH3" s="36"/>
      <c r="AI3" s="110">
        <f>AF3+1</f>
        <v>15</v>
      </c>
      <c r="AJ3" s="36"/>
      <c r="AK3" s="36"/>
      <c r="AL3" s="110">
        <f>AI3+1</f>
        <v>16</v>
      </c>
      <c r="AM3" s="37"/>
      <c r="AN3" s="37"/>
      <c r="AO3" s="110">
        <f>AL3+1</f>
        <v>17</v>
      </c>
      <c r="AP3" s="110"/>
      <c r="AQ3" s="110"/>
      <c r="AR3" s="110"/>
      <c r="AS3" s="110"/>
    </row>
    <row r="4" spans="1:49" ht="13.15" customHeight="1" x14ac:dyDescent="0.2">
      <c r="A4" s="171" t="s">
        <v>1</v>
      </c>
      <c r="B4" s="171" t="s">
        <v>2</v>
      </c>
      <c r="C4" s="180" t="s">
        <v>170</v>
      </c>
      <c r="D4" s="173" t="s">
        <v>142</v>
      </c>
      <c r="E4" s="180" t="s">
        <v>106</v>
      </c>
      <c r="F4" s="173" t="s">
        <v>107</v>
      </c>
      <c r="G4" s="173" t="s">
        <v>109</v>
      </c>
      <c r="H4" s="173" t="s">
        <v>143</v>
      </c>
      <c r="I4" s="180" t="s">
        <v>108</v>
      </c>
      <c r="J4" s="173" t="s">
        <v>110</v>
      </c>
      <c r="K4" s="173" t="s">
        <v>144</v>
      </c>
      <c r="L4" s="180" t="s">
        <v>112</v>
      </c>
      <c r="M4" s="173" t="s">
        <v>142</v>
      </c>
      <c r="N4" s="180" t="s">
        <v>97</v>
      </c>
      <c r="O4" s="173" t="s">
        <v>142</v>
      </c>
      <c r="P4" s="180" t="s">
        <v>111</v>
      </c>
      <c r="Q4" s="173" t="s">
        <v>142</v>
      </c>
      <c r="R4" s="180" t="s">
        <v>113</v>
      </c>
      <c r="S4" s="173" t="s">
        <v>142</v>
      </c>
      <c r="T4" s="180" t="s">
        <v>64</v>
      </c>
      <c r="U4" s="173" t="s">
        <v>142</v>
      </c>
      <c r="V4" s="180" t="s">
        <v>65</v>
      </c>
      <c r="W4" s="173" t="s">
        <v>142</v>
      </c>
      <c r="X4" s="180" t="s">
        <v>114</v>
      </c>
      <c r="Y4" s="173" t="s">
        <v>142</v>
      </c>
      <c r="Z4" s="180" t="s">
        <v>115</v>
      </c>
      <c r="AA4" s="173" t="s">
        <v>142</v>
      </c>
      <c r="AB4" s="180" t="s">
        <v>116</v>
      </c>
      <c r="AC4" s="173" t="s">
        <v>142</v>
      </c>
      <c r="AD4" s="180" t="s">
        <v>117</v>
      </c>
      <c r="AE4" s="180" t="s">
        <v>118</v>
      </c>
      <c r="AF4" s="180" t="s">
        <v>119</v>
      </c>
      <c r="AG4" s="173" t="s">
        <v>121</v>
      </c>
      <c r="AH4" s="173" t="s">
        <v>145</v>
      </c>
      <c r="AI4" s="180" t="s">
        <v>120</v>
      </c>
      <c r="AJ4" s="173" t="s">
        <v>125</v>
      </c>
      <c r="AK4" s="173" t="s">
        <v>66</v>
      </c>
      <c r="AL4" s="180" t="s">
        <v>122</v>
      </c>
      <c r="AM4" s="173" t="s">
        <v>124</v>
      </c>
      <c r="AN4" s="173" t="s">
        <v>146</v>
      </c>
      <c r="AO4" s="180" t="s">
        <v>123</v>
      </c>
      <c r="AP4" s="190" t="s">
        <v>159</v>
      </c>
      <c r="AQ4" s="181" t="s">
        <v>160</v>
      </c>
      <c r="AR4" s="190" t="s">
        <v>88</v>
      </c>
      <c r="AS4" s="181" t="s">
        <v>89</v>
      </c>
      <c r="AT4" s="180" t="s">
        <v>67</v>
      </c>
      <c r="AU4" s="180" t="s">
        <v>10</v>
      </c>
      <c r="AV4" s="180" t="s">
        <v>36</v>
      </c>
    </row>
    <row r="5" spans="1:49" ht="13.15" customHeight="1" x14ac:dyDescent="0.2">
      <c r="A5" s="171"/>
      <c r="B5" s="200"/>
      <c r="C5" s="180"/>
      <c r="D5" s="173"/>
      <c r="E5" s="180"/>
      <c r="F5" s="173"/>
      <c r="G5" s="173"/>
      <c r="H5" s="173"/>
      <c r="I5" s="180"/>
      <c r="J5" s="173"/>
      <c r="K5" s="173"/>
      <c r="L5" s="180"/>
      <c r="M5" s="173"/>
      <c r="N5" s="180"/>
      <c r="O5" s="173"/>
      <c r="P5" s="180"/>
      <c r="Q5" s="173"/>
      <c r="R5" s="180"/>
      <c r="S5" s="173"/>
      <c r="T5" s="180"/>
      <c r="U5" s="173"/>
      <c r="V5" s="180"/>
      <c r="W5" s="173"/>
      <c r="X5" s="180"/>
      <c r="Y5" s="173"/>
      <c r="Z5" s="180"/>
      <c r="AA5" s="173"/>
      <c r="AB5" s="180"/>
      <c r="AC5" s="173"/>
      <c r="AD5" s="180"/>
      <c r="AE5" s="180"/>
      <c r="AF5" s="180"/>
      <c r="AG5" s="173"/>
      <c r="AH5" s="173"/>
      <c r="AI5" s="180"/>
      <c r="AJ5" s="173"/>
      <c r="AK5" s="173"/>
      <c r="AL5" s="180"/>
      <c r="AM5" s="173"/>
      <c r="AN5" s="173"/>
      <c r="AO5" s="180"/>
      <c r="AP5" s="182"/>
      <c r="AQ5" s="182"/>
      <c r="AR5" s="191"/>
      <c r="AS5" s="182"/>
      <c r="AT5" s="180"/>
      <c r="AU5" s="180"/>
      <c r="AV5" s="180"/>
    </row>
    <row r="6" spans="1:49" ht="152.25" customHeight="1" x14ac:dyDescent="0.2">
      <c r="A6" s="171"/>
      <c r="B6" s="171"/>
      <c r="C6" s="180"/>
      <c r="D6" s="173"/>
      <c r="E6" s="180"/>
      <c r="F6" s="173"/>
      <c r="G6" s="173"/>
      <c r="H6" s="173"/>
      <c r="I6" s="180"/>
      <c r="J6" s="173"/>
      <c r="K6" s="173"/>
      <c r="L6" s="180"/>
      <c r="M6" s="173"/>
      <c r="N6" s="180"/>
      <c r="O6" s="173"/>
      <c r="P6" s="180"/>
      <c r="Q6" s="173"/>
      <c r="R6" s="180"/>
      <c r="S6" s="173"/>
      <c r="T6" s="180"/>
      <c r="U6" s="173"/>
      <c r="V6" s="180"/>
      <c r="W6" s="173"/>
      <c r="X6" s="180"/>
      <c r="Y6" s="173"/>
      <c r="Z6" s="180"/>
      <c r="AA6" s="173"/>
      <c r="AB6" s="180"/>
      <c r="AC6" s="173"/>
      <c r="AD6" s="180"/>
      <c r="AE6" s="180"/>
      <c r="AF6" s="180"/>
      <c r="AG6" s="173"/>
      <c r="AH6" s="173"/>
      <c r="AI6" s="180"/>
      <c r="AJ6" s="173"/>
      <c r="AK6" s="173"/>
      <c r="AL6" s="180"/>
      <c r="AM6" s="173"/>
      <c r="AN6" s="173"/>
      <c r="AO6" s="180"/>
      <c r="AP6" s="183"/>
      <c r="AQ6" s="183"/>
      <c r="AR6" s="192"/>
      <c r="AS6" s="183"/>
      <c r="AT6" s="180"/>
      <c r="AU6" s="180"/>
      <c r="AV6" s="180"/>
    </row>
    <row r="7" spans="1:49" x14ac:dyDescent="0.2">
      <c r="A7" s="194" t="s">
        <v>68</v>
      </c>
      <c r="B7" s="195"/>
      <c r="C7" s="116">
        <v>1</v>
      </c>
      <c r="D7" s="116">
        <v>2</v>
      </c>
      <c r="E7" s="116" t="s">
        <v>126</v>
      </c>
      <c r="F7" s="116" t="s">
        <v>127</v>
      </c>
      <c r="G7" s="117" t="s">
        <v>128</v>
      </c>
      <c r="H7" s="116">
        <v>6</v>
      </c>
      <c r="I7" s="116" t="s">
        <v>147</v>
      </c>
      <c r="J7" s="116">
        <v>8</v>
      </c>
      <c r="K7" s="116">
        <v>9</v>
      </c>
      <c r="L7" s="116" t="s">
        <v>129</v>
      </c>
      <c r="M7" s="116">
        <v>11</v>
      </c>
      <c r="N7" s="116" t="s">
        <v>130</v>
      </c>
      <c r="O7" s="116">
        <v>13</v>
      </c>
      <c r="P7" s="116" t="s">
        <v>131</v>
      </c>
      <c r="Q7" s="116">
        <v>15</v>
      </c>
      <c r="R7" s="116" t="s">
        <v>132</v>
      </c>
      <c r="S7" s="116">
        <v>17</v>
      </c>
      <c r="T7" s="116" t="s">
        <v>133</v>
      </c>
      <c r="U7" s="116">
        <v>19</v>
      </c>
      <c r="V7" s="116" t="s">
        <v>134</v>
      </c>
      <c r="W7" s="116">
        <v>21</v>
      </c>
      <c r="X7" s="116" t="s">
        <v>135</v>
      </c>
      <c r="Y7" s="116">
        <v>23</v>
      </c>
      <c r="Z7" s="116" t="s">
        <v>136</v>
      </c>
      <c r="AA7" s="116">
        <v>25</v>
      </c>
      <c r="AB7" s="116" t="s">
        <v>137</v>
      </c>
      <c r="AC7" s="116">
        <v>27</v>
      </c>
      <c r="AD7" s="116" t="s">
        <v>138</v>
      </c>
      <c r="AE7" s="116">
        <v>29</v>
      </c>
      <c r="AF7" s="116">
        <v>30</v>
      </c>
      <c r="AG7" s="116">
        <v>31</v>
      </c>
      <c r="AH7" s="116">
        <v>32</v>
      </c>
      <c r="AI7" s="116" t="s">
        <v>139</v>
      </c>
      <c r="AJ7" s="116">
        <v>34</v>
      </c>
      <c r="AK7" s="116">
        <v>35</v>
      </c>
      <c r="AL7" s="116" t="s">
        <v>140</v>
      </c>
      <c r="AM7" s="116">
        <v>37</v>
      </c>
      <c r="AN7" s="116">
        <v>38</v>
      </c>
      <c r="AO7" s="116" t="s">
        <v>141</v>
      </c>
      <c r="AP7" s="116">
        <v>40</v>
      </c>
      <c r="AQ7" s="116" t="s">
        <v>161</v>
      </c>
      <c r="AR7" s="116">
        <v>42</v>
      </c>
      <c r="AS7" s="116" t="s">
        <v>162</v>
      </c>
      <c r="AT7" s="116" t="s">
        <v>163</v>
      </c>
      <c r="AU7" s="116" t="s">
        <v>164</v>
      </c>
      <c r="AV7" s="118" t="s">
        <v>165</v>
      </c>
    </row>
    <row r="8" spans="1:49" ht="13.5" x14ac:dyDescent="0.25">
      <c r="A8" s="193"/>
      <c r="B8" s="193"/>
      <c r="C8" s="119" t="s">
        <v>40</v>
      </c>
      <c r="D8" s="116"/>
      <c r="E8" s="120"/>
      <c r="F8" s="116"/>
      <c r="G8" s="116"/>
      <c r="H8" s="116"/>
      <c r="I8" s="120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21"/>
      <c r="AN8" s="116"/>
      <c r="AO8" s="121"/>
      <c r="AP8" s="121"/>
      <c r="AQ8" s="121"/>
      <c r="AR8" s="121"/>
      <c r="AS8" s="121"/>
      <c r="AT8" s="122"/>
      <c r="AU8" s="122"/>
      <c r="AV8" s="123" t="s">
        <v>8</v>
      </c>
    </row>
    <row r="9" spans="1:49" s="114" customFormat="1" ht="16.5" x14ac:dyDescent="0.25">
      <c r="A9" s="56">
        <v>1</v>
      </c>
      <c r="B9" s="12" t="s">
        <v>150</v>
      </c>
      <c r="C9" s="157">
        <v>23913</v>
      </c>
      <c r="D9" s="68">
        <v>0</v>
      </c>
      <c r="E9" s="143">
        <f>C9*D9</f>
        <v>0</v>
      </c>
      <c r="F9" s="60"/>
      <c r="G9" s="60">
        <f>F9*18</f>
        <v>0</v>
      </c>
      <c r="H9" s="60"/>
      <c r="I9" s="49">
        <f>G9*H9/1000*1%</f>
        <v>0</v>
      </c>
      <c r="J9" s="115"/>
      <c r="K9" s="115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7">
        <v>4.3800000000000002E-3</v>
      </c>
      <c r="T9" s="142">
        <f>C9*S9</f>
        <v>104.73894</v>
      </c>
      <c r="U9" s="68"/>
      <c r="V9" s="49">
        <f>C9*U9</f>
        <v>0</v>
      </c>
      <c r="W9" s="147">
        <v>7.0000000000000007E-2</v>
      </c>
      <c r="X9" s="142">
        <f>C9*W9</f>
        <v>1673.91</v>
      </c>
      <c r="Y9" s="147">
        <v>0.20430000000000001</v>
      </c>
      <c r="Z9" s="143">
        <f>C9*Y9</f>
        <v>4885.4259000000002</v>
      </c>
      <c r="AA9" s="147">
        <v>0.55400000000000005</v>
      </c>
      <c r="AB9" s="142">
        <f>C9*AA9</f>
        <v>13247.802000000001</v>
      </c>
      <c r="AC9" s="147">
        <v>4.3E-3</v>
      </c>
      <c r="AD9" s="142">
        <f t="shared" ref="AD9:AD19" si="0">C9*AC9</f>
        <v>102.8259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1">
        <v>5.3100000000000001E-2</v>
      </c>
      <c r="AQ9" s="143">
        <f>AP9*C9</f>
        <v>1269.7803000000001</v>
      </c>
      <c r="AR9" s="142">
        <v>2.1999999999999999E-2</v>
      </c>
      <c r="AS9" s="143">
        <f>AR9*C9</f>
        <v>526.08600000000001</v>
      </c>
      <c r="AT9" s="51">
        <f>E9+I9+L9+N9+P9+R9+T9+V9+X9+Z9+AB9+AD9+AE9+AF9+AI9+AL9+AO9+AQ9+AS9</f>
        <v>21810.569039999998</v>
      </c>
      <c r="AU9" s="125">
        <f t="shared" ref="AU9:AU17" si="1">AT9/C9</f>
        <v>0.91207999999999989</v>
      </c>
      <c r="AV9" s="126">
        <f t="shared" ref="AV9:AV17" si="2">ROUND((AT9/C9)/($AT$20/$C$20),5)</f>
        <v>0.88358999999999999</v>
      </c>
      <c r="AW9" s="113"/>
    </row>
    <row r="10" spans="1:49" s="114" customFormat="1" ht="16.5" x14ac:dyDescent="0.25">
      <c r="A10" s="56">
        <v>2</v>
      </c>
      <c r="B10" s="12" t="s">
        <v>151</v>
      </c>
      <c r="C10" s="157">
        <v>1137</v>
      </c>
      <c r="D10" s="68">
        <v>0.68</v>
      </c>
      <c r="E10" s="143">
        <f t="shared" ref="E10:E19" si="3">C10*D10</f>
        <v>773.16000000000008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5"/>
      <c r="K10" s="115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7">
        <v>4.3E-3</v>
      </c>
      <c r="T10" s="142">
        <f t="shared" ref="T10:T19" si="10">C10*S10</f>
        <v>4.8891</v>
      </c>
      <c r="U10" s="68"/>
      <c r="V10" s="49">
        <f t="shared" ref="V10:V19" si="11">C10*U10</f>
        <v>0</v>
      </c>
      <c r="W10" s="147">
        <v>0.11700000000000001</v>
      </c>
      <c r="X10" s="142">
        <f t="shared" ref="X10:X19" si="12">C10*W10</f>
        <v>133.029</v>
      </c>
      <c r="Y10" s="147">
        <v>7.9699999999999993E-2</v>
      </c>
      <c r="Z10" s="143">
        <f t="shared" ref="Z10:Z19" si="13">C10*Y10</f>
        <v>90.618899999999996</v>
      </c>
      <c r="AA10" s="147">
        <v>0.38700000000000001</v>
      </c>
      <c r="AB10" s="142">
        <f t="shared" ref="AB10:AB19" si="14">C10*AA10</f>
        <v>440.01900000000001</v>
      </c>
      <c r="AC10" s="147">
        <v>2.98E-3</v>
      </c>
      <c r="AD10" s="142">
        <f t="shared" si="0"/>
        <v>3.3882599999999998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1">
        <v>1.7899999999999999E-3</v>
      </c>
      <c r="AQ10" s="143">
        <f t="shared" ref="AQ10:AQ17" si="18">AP10*C10</f>
        <v>2.0352299999999999</v>
      </c>
      <c r="AR10" s="142">
        <v>7.0999999999999994E-2</v>
      </c>
      <c r="AS10" s="143">
        <f t="shared" ref="AS10:AS17" si="19">AR10*C10</f>
        <v>80.72699999999999</v>
      </c>
      <c r="AT10" s="51">
        <f t="shared" ref="AT10:AT17" si="20">E10+I10+L10+N10+P10+R10+T10+V10+X10+Z10+AB10+AD10+AE10+AF10+AI10+AL10+AO10+AQ10+AS10</f>
        <v>1527.8664900000001</v>
      </c>
      <c r="AU10" s="125">
        <f t="shared" si="1"/>
        <v>1.3437700000000001</v>
      </c>
      <c r="AV10" s="126">
        <f t="shared" si="2"/>
        <v>1.30179</v>
      </c>
      <c r="AW10" s="113"/>
    </row>
    <row r="11" spans="1:49" s="114" customFormat="1" ht="16.5" x14ac:dyDescent="0.25">
      <c r="A11" s="56">
        <v>3</v>
      </c>
      <c r="B11" s="12" t="s">
        <v>152</v>
      </c>
      <c r="C11" s="157">
        <v>1323</v>
      </c>
      <c r="D11" s="68">
        <v>0.68</v>
      </c>
      <c r="E11" s="143">
        <f t="shared" si="3"/>
        <v>899.6400000000001</v>
      </c>
      <c r="F11" s="60"/>
      <c r="G11" s="60">
        <f t="shared" si="4"/>
        <v>0</v>
      </c>
      <c r="H11" s="60"/>
      <c r="I11" s="49">
        <f t="shared" si="5"/>
        <v>0</v>
      </c>
      <c r="J11" s="115"/>
      <c r="K11" s="115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7">
        <v>4.3E-3</v>
      </c>
      <c r="T11" s="142">
        <f t="shared" si="10"/>
        <v>5.6889000000000003</v>
      </c>
      <c r="U11" s="68"/>
      <c r="V11" s="49">
        <f t="shared" si="11"/>
        <v>0</v>
      </c>
      <c r="W11" s="147">
        <v>0.11700000000000001</v>
      </c>
      <c r="X11" s="142">
        <f t="shared" si="12"/>
        <v>154.791</v>
      </c>
      <c r="Y11" s="147">
        <v>7.9699999999999993E-2</v>
      </c>
      <c r="Z11" s="143">
        <f t="shared" si="13"/>
        <v>105.44309999999999</v>
      </c>
      <c r="AA11" s="147">
        <v>0.38700000000000001</v>
      </c>
      <c r="AB11" s="142">
        <f t="shared" si="14"/>
        <v>512.00099999999998</v>
      </c>
      <c r="AC11" s="147">
        <v>2.98E-3</v>
      </c>
      <c r="AD11" s="142">
        <f t="shared" si="0"/>
        <v>3.9425400000000002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1">
        <v>1.7899999999999999E-3</v>
      </c>
      <c r="AQ11" s="143">
        <f t="shared" si="18"/>
        <v>2.3681700000000001</v>
      </c>
      <c r="AR11" s="142">
        <v>7.0999999999999994E-2</v>
      </c>
      <c r="AS11" s="143">
        <f t="shared" si="19"/>
        <v>93.932999999999993</v>
      </c>
      <c r="AT11" s="51">
        <f t="shared" si="20"/>
        <v>1777.80771</v>
      </c>
      <c r="AU11" s="125">
        <f t="shared" si="1"/>
        <v>1.3437700000000001</v>
      </c>
      <c r="AV11" s="126">
        <f t="shared" si="2"/>
        <v>1.30179</v>
      </c>
      <c r="AW11" s="113"/>
    </row>
    <row r="12" spans="1:49" s="114" customFormat="1" ht="16.5" x14ac:dyDescent="0.25">
      <c r="A12" s="56">
        <v>4</v>
      </c>
      <c r="B12" s="12" t="s">
        <v>153</v>
      </c>
      <c r="C12" s="157">
        <v>704</v>
      </c>
      <c r="D12" s="68">
        <v>0.68</v>
      </c>
      <c r="E12" s="143">
        <f t="shared" si="3"/>
        <v>478.72</v>
      </c>
      <c r="F12" s="60"/>
      <c r="G12" s="60">
        <f t="shared" si="4"/>
        <v>0</v>
      </c>
      <c r="H12" s="60"/>
      <c r="I12" s="49">
        <f t="shared" si="5"/>
        <v>0</v>
      </c>
      <c r="J12" s="115"/>
      <c r="K12" s="115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7">
        <v>4.3E-3</v>
      </c>
      <c r="T12" s="142">
        <f t="shared" si="10"/>
        <v>3.0272000000000001</v>
      </c>
      <c r="U12" s="68"/>
      <c r="V12" s="49">
        <f t="shared" si="11"/>
        <v>0</v>
      </c>
      <c r="W12" s="147">
        <v>0.11700000000000001</v>
      </c>
      <c r="X12" s="142">
        <f t="shared" si="12"/>
        <v>82.368000000000009</v>
      </c>
      <c r="Y12" s="147">
        <v>7.9699999999999993E-2</v>
      </c>
      <c r="Z12" s="143">
        <f t="shared" si="13"/>
        <v>56.108799999999995</v>
      </c>
      <c r="AA12" s="147">
        <v>0.38700000000000001</v>
      </c>
      <c r="AB12" s="142">
        <f t="shared" si="14"/>
        <v>272.44799999999998</v>
      </c>
      <c r="AC12" s="147">
        <v>2.98E-3</v>
      </c>
      <c r="AD12" s="142">
        <f t="shared" si="0"/>
        <v>2.0979200000000002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1">
        <v>1.7899999999999999E-3</v>
      </c>
      <c r="AQ12" s="143">
        <f t="shared" si="18"/>
        <v>1.2601599999999999</v>
      </c>
      <c r="AR12" s="142">
        <v>7.0999999999999994E-2</v>
      </c>
      <c r="AS12" s="143">
        <f t="shared" si="19"/>
        <v>49.983999999999995</v>
      </c>
      <c r="AT12" s="51">
        <f t="shared" si="20"/>
        <v>946.01408000000015</v>
      </c>
      <c r="AU12" s="125">
        <f t="shared" si="1"/>
        <v>1.3437700000000001</v>
      </c>
      <c r="AV12" s="126">
        <f t="shared" si="2"/>
        <v>1.30179</v>
      </c>
      <c r="AW12" s="113"/>
    </row>
    <row r="13" spans="1:49" s="114" customFormat="1" ht="16.5" x14ac:dyDescent="0.25">
      <c r="A13" s="56">
        <v>5</v>
      </c>
      <c r="B13" s="12" t="s">
        <v>154</v>
      </c>
      <c r="C13" s="157">
        <v>1077</v>
      </c>
      <c r="D13" s="68">
        <v>0.68</v>
      </c>
      <c r="E13" s="143">
        <f t="shared" si="3"/>
        <v>732.36</v>
      </c>
      <c r="F13" s="60"/>
      <c r="G13" s="60">
        <f t="shared" si="4"/>
        <v>0</v>
      </c>
      <c r="H13" s="60"/>
      <c r="I13" s="49">
        <f t="shared" si="5"/>
        <v>0</v>
      </c>
      <c r="J13" s="115"/>
      <c r="K13" s="115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7">
        <v>4.3E-3</v>
      </c>
      <c r="T13" s="142">
        <f t="shared" si="10"/>
        <v>4.6311</v>
      </c>
      <c r="U13" s="68"/>
      <c r="V13" s="49">
        <f t="shared" si="11"/>
        <v>0</v>
      </c>
      <c r="W13" s="147">
        <v>0.11700000000000001</v>
      </c>
      <c r="X13" s="142">
        <f t="shared" si="12"/>
        <v>126.009</v>
      </c>
      <c r="Y13" s="147">
        <v>7.9699999999999993E-2</v>
      </c>
      <c r="Z13" s="143">
        <f t="shared" si="13"/>
        <v>85.836899999999986</v>
      </c>
      <c r="AA13" s="147">
        <v>0.38700000000000001</v>
      </c>
      <c r="AB13" s="142">
        <f t="shared" si="14"/>
        <v>416.79900000000004</v>
      </c>
      <c r="AC13" s="147">
        <v>2.98E-3</v>
      </c>
      <c r="AD13" s="142">
        <f t="shared" si="0"/>
        <v>3.20946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1">
        <v>1.7899999999999999E-3</v>
      </c>
      <c r="AQ13" s="143">
        <f t="shared" si="18"/>
        <v>1.9278299999999999</v>
      </c>
      <c r="AR13" s="142">
        <v>7.0999999999999994E-2</v>
      </c>
      <c r="AS13" s="143">
        <f t="shared" si="19"/>
        <v>76.466999999999999</v>
      </c>
      <c r="AT13" s="51">
        <f t="shared" si="20"/>
        <v>1447.2402900000002</v>
      </c>
      <c r="AU13" s="125">
        <f t="shared" si="1"/>
        <v>1.3437700000000001</v>
      </c>
      <c r="AV13" s="126">
        <f t="shared" si="2"/>
        <v>1.30179</v>
      </c>
      <c r="AW13" s="113"/>
    </row>
    <row r="14" spans="1:49" s="114" customFormat="1" ht="16.5" x14ac:dyDescent="0.25">
      <c r="A14" s="56">
        <v>6</v>
      </c>
      <c r="B14" s="12" t="s">
        <v>155</v>
      </c>
      <c r="C14" s="157">
        <v>1458</v>
      </c>
      <c r="D14" s="68">
        <v>0.68</v>
      </c>
      <c r="E14" s="143">
        <f t="shared" si="3"/>
        <v>991.44</v>
      </c>
      <c r="F14" s="60"/>
      <c r="G14" s="60">
        <f t="shared" si="4"/>
        <v>0</v>
      </c>
      <c r="H14" s="60"/>
      <c r="I14" s="49">
        <f t="shared" si="5"/>
        <v>0</v>
      </c>
      <c r="J14" s="115"/>
      <c r="K14" s="115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7">
        <v>4.3E-3</v>
      </c>
      <c r="T14" s="142">
        <f t="shared" si="10"/>
        <v>6.2694000000000001</v>
      </c>
      <c r="U14" s="68"/>
      <c r="V14" s="49">
        <f t="shared" si="11"/>
        <v>0</v>
      </c>
      <c r="W14" s="147">
        <v>0.11700000000000001</v>
      </c>
      <c r="X14" s="142">
        <f t="shared" si="12"/>
        <v>170.58600000000001</v>
      </c>
      <c r="Y14" s="147">
        <v>7.9699999999999993E-2</v>
      </c>
      <c r="Z14" s="143">
        <f t="shared" si="13"/>
        <v>116.20259999999999</v>
      </c>
      <c r="AA14" s="147">
        <v>0.38700000000000001</v>
      </c>
      <c r="AB14" s="142">
        <f t="shared" si="14"/>
        <v>564.24599999999998</v>
      </c>
      <c r="AC14" s="147">
        <v>2.98E-3</v>
      </c>
      <c r="AD14" s="142">
        <f t="shared" si="0"/>
        <v>4.3448399999999996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1">
        <v>1.7899999999999999E-3</v>
      </c>
      <c r="AQ14" s="143">
        <f t="shared" si="18"/>
        <v>2.60982</v>
      </c>
      <c r="AR14" s="142">
        <v>7.0999999999999994E-2</v>
      </c>
      <c r="AS14" s="143">
        <f t="shared" si="19"/>
        <v>103.51799999999999</v>
      </c>
      <c r="AT14" s="51">
        <f t="shared" si="20"/>
        <v>1959.21666</v>
      </c>
      <c r="AU14" s="125">
        <f t="shared" si="1"/>
        <v>1.3437700000000001</v>
      </c>
      <c r="AV14" s="126">
        <f t="shared" si="2"/>
        <v>1.30179</v>
      </c>
      <c r="AW14" s="113"/>
    </row>
    <row r="15" spans="1:49" s="114" customFormat="1" ht="16.5" x14ac:dyDescent="0.25">
      <c r="A15" s="56">
        <v>7</v>
      </c>
      <c r="B15" s="12" t="s">
        <v>156</v>
      </c>
      <c r="C15" s="157">
        <v>1374</v>
      </c>
      <c r="D15" s="68">
        <v>0.68</v>
      </c>
      <c r="E15" s="143">
        <f t="shared" si="3"/>
        <v>934.32</v>
      </c>
      <c r="F15" s="60"/>
      <c r="G15" s="60">
        <f t="shared" si="4"/>
        <v>0</v>
      </c>
      <c r="H15" s="60"/>
      <c r="I15" s="49">
        <f t="shared" si="5"/>
        <v>0</v>
      </c>
      <c r="J15" s="115"/>
      <c r="K15" s="115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7">
        <v>4.3E-3</v>
      </c>
      <c r="T15" s="142">
        <f t="shared" si="10"/>
        <v>5.9081999999999999</v>
      </c>
      <c r="U15" s="68"/>
      <c r="V15" s="49">
        <f t="shared" si="11"/>
        <v>0</v>
      </c>
      <c r="W15" s="147">
        <v>0.11700000000000001</v>
      </c>
      <c r="X15" s="142">
        <f t="shared" si="12"/>
        <v>160.75800000000001</v>
      </c>
      <c r="Y15" s="147">
        <v>7.9699999999999993E-2</v>
      </c>
      <c r="Z15" s="143">
        <f t="shared" si="13"/>
        <v>109.50779999999999</v>
      </c>
      <c r="AA15" s="147">
        <v>0.38700000000000001</v>
      </c>
      <c r="AB15" s="142">
        <f t="shared" si="14"/>
        <v>531.73800000000006</v>
      </c>
      <c r="AC15" s="147">
        <v>2.98E-3</v>
      </c>
      <c r="AD15" s="142">
        <f t="shared" si="0"/>
        <v>4.0945200000000002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1">
        <v>1.7899999999999999E-3</v>
      </c>
      <c r="AQ15" s="143">
        <f t="shared" si="18"/>
        <v>2.45946</v>
      </c>
      <c r="AR15" s="142">
        <v>7.0999999999999994E-2</v>
      </c>
      <c r="AS15" s="143">
        <f t="shared" si="19"/>
        <v>97.553999999999988</v>
      </c>
      <c r="AT15" s="51">
        <f t="shared" si="20"/>
        <v>1846.3399800000004</v>
      </c>
      <c r="AU15" s="125">
        <f t="shared" si="1"/>
        <v>1.3437700000000004</v>
      </c>
      <c r="AV15" s="126">
        <f t="shared" si="2"/>
        <v>1.30179</v>
      </c>
      <c r="AW15" s="113"/>
    </row>
    <row r="16" spans="1:49" s="114" customFormat="1" ht="16.5" x14ac:dyDescent="0.25">
      <c r="A16" s="56">
        <v>8</v>
      </c>
      <c r="B16" s="12" t="s">
        <v>157</v>
      </c>
      <c r="C16" s="157">
        <v>1261</v>
      </c>
      <c r="D16" s="68">
        <v>0.68</v>
      </c>
      <c r="E16" s="143">
        <f t="shared" si="3"/>
        <v>857.48</v>
      </c>
      <c r="F16" s="60"/>
      <c r="G16" s="60">
        <f t="shared" si="4"/>
        <v>0</v>
      </c>
      <c r="H16" s="60"/>
      <c r="I16" s="49">
        <f t="shared" si="5"/>
        <v>0</v>
      </c>
      <c r="J16" s="115"/>
      <c r="K16" s="115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7">
        <v>4.3E-3</v>
      </c>
      <c r="T16" s="142">
        <f t="shared" si="10"/>
        <v>5.4222999999999999</v>
      </c>
      <c r="U16" s="68"/>
      <c r="V16" s="49">
        <f t="shared" si="11"/>
        <v>0</v>
      </c>
      <c r="W16" s="147">
        <v>0.11700000000000001</v>
      </c>
      <c r="X16" s="142">
        <f t="shared" si="12"/>
        <v>147.53700000000001</v>
      </c>
      <c r="Y16" s="147">
        <v>7.9699999999999993E-2</v>
      </c>
      <c r="Z16" s="143">
        <f t="shared" si="13"/>
        <v>100.50169999999999</v>
      </c>
      <c r="AA16" s="147">
        <v>0.38700000000000001</v>
      </c>
      <c r="AB16" s="142">
        <f t="shared" si="14"/>
        <v>488.00700000000001</v>
      </c>
      <c r="AC16" s="147">
        <v>2.98E-3</v>
      </c>
      <c r="AD16" s="142">
        <f t="shared" si="0"/>
        <v>3.7577799999999999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1">
        <v>1.7899999999999999E-3</v>
      </c>
      <c r="AQ16" s="143">
        <f t="shared" si="18"/>
        <v>2.25719</v>
      </c>
      <c r="AR16" s="142">
        <v>7.0999999999999994E-2</v>
      </c>
      <c r="AS16" s="143">
        <f t="shared" si="19"/>
        <v>89.530999999999992</v>
      </c>
      <c r="AT16" s="51">
        <f t="shared" si="20"/>
        <v>1694.49397</v>
      </c>
      <c r="AU16" s="125">
        <f t="shared" si="1"/>
        <v>1.3437699999999999</v>
      </c>
      <c r="AV16" s="126">
        <f t="shared" si="2"/>
        <v>1.30179</v>
      </c>
      <c r="AW16" s="113"/>
    </row>
    <row r="17" spans="1:49" s="114" customFormat="1" ht="16.5" x14ac:dyDescent="0.25">
      <c r="A17" s="56">
        <v>9</v>
      </c>
      <c r="B17" s="12" t="s">
        <v>158</v>
      </c>
      <c r="C17" s="157">
        <v>890</v>
      </c>
      <c r="D17" s="68">
        <v>0.68</v>
      </c>
      <c r="E17" s="143">
        <f t="shared" si="3"/>
        <v>605.20000000000005</v>
      </c>
      <c r="F17" s="60"/>
      <c r="G17" s="60">
        <f t="shared" si="4"/>
        <v>0</v>
      </c>
      <c r="H17" s="60"/>
      <c r="I17" s="49">
        <f t="shared" si="5"/>
        <v>0</v>
      </c>
      <c r="J17" s="115"/>
      <c r="K17" s="115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7">
        <v>4.3E-3</v>
      </c>
      <c r="T17" s="142">
        <f t="shared" si="10"/>
        <v>3.827</v>
      </c>
      <c r="U17" s="68"/>
      <c r="V17" s="49">
        <f t="shared" si="11"/>
        <v>0</v>
      </c>
      <c r="W17" s="147">
        <v>0.11700000000000001</v>
      </c>
      <c r="X17" s="142">
        <f t="shared" si="12"/>
        <v>104.13000000000001</v>
      </c>
      <c r="Y17" s="147">
        <v>7.9699999999999993E-2</v>
      </c>
      <c r="Z17" s="143">
        <f t="shared" si="13"/>
        <v>70.932999999999993</v>
      </c>
      <c r="AA17" s="147">
        <v>0.38700000000000001</v>
      </c>
      <c r="AB17" s="142">
        <f t="shared" si="14"/>
        <v>344.43</v>
      </c>
      <c r="AC17" s="147">
        <v>2.98E-3</v>
      </c>
      <c r="AD17" s="142">
        <f t="shared" si="0"/>
        <v>2.6522000000000001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1">
        <v>1.7899999999999999E-3</v>
      </c>
      <c r="AQ17" s="143">
        <f t="shared" si="18"/>
        <v>1.5931</v>
      </c>
      <c r="AR17" s="142">
        <v>7.0999999999999994E-2</v>
      </c>
      <c r="AS17" s="143">
        <f t="shared" si="19"/>
        <v>63.19</v>
      </c>
      <c r="AT17" s="51">
        <f t="shared" si="20"/>
        <v>1195.9553000000001</v>
      </c>
      <c r="AU17" s="125">
        <f t="shared" si="1"/>
        <v>1.3437700000000001</v>
      </c>
      <c r="AV17" s="126">
        <f t="shared" si="2"/>
        <v>1.30179</v>
      </c>
      <c r="AW17" s="113"/>
    </row>
    <row r="18" spans="1:49" s="114" customFormat="1" ht="15.75" hidden="1" x14ac:dyDescent="0.25">
      <c r="A18" s="56">
        <v>10</v>
      </c>
      <c r="B18" s="12"/>
      <c r="C18" s="124">
        <f>ИНП2027!C18</f>
        <v>0</v>
      </c>
      <c r="D18" s="68"/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5"/>
      <c r="K18" s="115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68"/>
      <c r="T18" s="142">
        <f t="shared" si="10"/>
        <v>0</v>
      </c>
      <c r="U18" s="68"/>
      <c r="V18" s="49">
        <f t="shared" si="11"/>
        <v>0</v>
      </c>
      <c r="W18" s="68"/>
      <c r="X18" s="142">
        <f t="shared" si="12"/>
        <v>0</v>
      </c>
      <c r="Y18" s="68"/>
      <c r="Z18" s="143">
        <f t="shared" si="13"/>
        <v>0</v>
      </c>
      <c r="AA18" s="68"/>
      <c r="AB18" s="142">
        <f t="shared" si="14"/>
        <v>0</v>
      </c>
      <c r="AC18" s="68"/>
      <c r="AD18" s="142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1"/>
      <c r="AQ18" s="143"/>
      <c r="AR18" s="49"/>
      <c r="AS18" s="143"/>
      <c r="AT18" s="51">
        <f t="shared" ref="AT18:AT19" si="22">E18+I18+L18+N18+P18+R18+T18+V18+X18+Z18+AB18+AD18+AE18+AF18+AI18+AL18+AO18</f>
        <v>0</v>
      </c>
      <c r="AU18" s="125"/>
      <c r="AV18" s="126"/>
      <c r="AW18" s="113"/>
    </row>
    <row r="19" spans="1:49" s="114" customFormat="1" ht="15.75" hidden="1" x14ac:dyDescent="0.25">
      <c r="A19" s="56">
        <v>11</v>
      </c>
      <c r="B19" s="12"/>
      <c r="C19" s="124">
        <f>ИНП2027!C19</f>
        <v>0</v>
      </c>
      <c r="D19" s="68"/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5"/>
      <c r="K19" s="115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68"/>
      <c r="T19" s="142">
        <f t="shared" si="10"/>
        <v>0</v>
      </c>
      <c r="U19" s="68"/>
      <c r="V19" s="49">
        <f t="shared" si="11"/>
        <v>0</v>
      </c>
      <c r="W19" s="68"/>
      <c r="X19" s="142">
        <f t="shared" si="12"/>
        <v>0</v>
      </c>
      <c r="Y19" s="68"/>
      <c r="Z19" s="143">
        <f t="shared" si="13"/>
        <v>0</v>
      </c>
      <c r="AA19" s="68"/>
      <c r="AB19" s="142">
        <f t="shared" si="14"/>
        <v>0</v>
      </c>
      <c r="AC19" s="68"/>
      <c r="AD19" s="142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3"/>
      <c r="AR19" s="49"/>
      <c r="AS19" s="143"/>
      <c r="AT19" s="51">
        <f t="shared" si="22"/>
        <v>0</v>
      </c>
      <c r="AU19" s="125"/>
      <c r="AV19" s="126"/>
      <c r="AW19" s="113"/>
    </row>
    <row r="20" spans="1:49" ht="15.75" x14ac:dyDescent="0.25">
      <c r="A20" s="176" t="s">
        <v>0</v>
      </c>
      <c r="B20" s="176"/>
      <c r="C20" s="127">
        <f>SUM(C9:C19)</f>
        <v>33137</v>
      </c>
      <c r="D20" s="128" t="s">
        <v>84</v>
      </c>
      <c r="E20" s="144">
        <f>SUM(E9:E19)</f>
        <v>6272.3200000000006</v>
      </c>
      <c r="F20" s="129">
        <f>SUM(F9:F19)</f>
        <v>0</v>
      </c>
      <c r="G20" s="129">
        <f>SUM(G9:G19)</f>
        <v>0</v>
      </c>
      <c r="H20" s="128" t="s">
        <v>84</v>
      </c>
      <c r="I20" s="134">
        <f>SUM(I9:I19)</f>
        <v>0</v>
      </c>
      <c r="J20" s="129">
        <f>SUM(J9:J19)</f>
        <v>0</v>
      </c>
      <c r="K20" s="130" t="s">
        <v>7</v>
      </c>
      <c r="L20" s="134">
        <f>SUM(L9:L19)</f>
        <v>0</v>
      </c>
      <c r="M20" s="130" t="s">
        <v>7</v>
      </c>
      <c r="N20" s="134">
        <f t="shared" ref="N20:P20" si="23">SUM(N9:N19)</f>
        <v>0</v>
      </c>
      <c r="O20" s="130" t="s">
        <v>7</v>
      </c>
      <c r="P20" s="134">
        <f t="shared" si="23"/>
        <v>0</v>
      </c>
      <c r="Q20" s="130" t="s">
        <v>7</v>
      </c>
      <c r="R20" s="134">
        <f t="shared" ref="R20" si="24">SUM(R9:R19)</f>
        <v>0</v>
      </c>
      <c r="S20" s="130" t="s">
        <v>7</v>
      </c>
      <c r="T20" s="145">
        <f t="shared" ref="T20" si="25">SUM(T9:T19)</f>
        <v>144.40214</v>
      </c>
      <c r="U20" s="130" t="s">
        <v>7</v>
      </c>
      <c r="V20" s="134">
        <f t="shared" ref="V20" si="26">SUM(V9:V19)</f>
        <v>0</v>
      </c>
      <c r="W20" s="130" t="s">
        <v>7</v>
      </c>
      <c r="X20" s="145">
        <f t="shared" ref="X20" si="27">SUM(X9:X19)</f>
        <v>2753.1179999999999</v>
      </c>
      <c r="Y20" s="130" t="s">
        <v>7</v>
      </c>
      <c r="Z20" s="146">
        <f t="shared" ref="Z20" si="28">SUM(Z9:Z19)</f>
        <v>5620.5787000000009</v>
      </c>
      <c r="AA20" s="130" t="s">
        <v>7</v>
      </c>
      <c r="AB20" s="145">
        <f t="shared" ref="AB20" si="29">SUM(AB9:AB19)</f>
        <v>16817.490000000002</v>
      </c>
      <c r="AC20" s="130" t="s">
        <v>7</v>
      </c>
      <c r="AD20" s="145">
        <f t="shared" ref="AD20" si="30">SUM(AD9:AD19)</f>
        <v>130.31342000000001</v>
      </c>
      <c r="AE20" s="134">
        <f t="shared" ref="AE20" si="31">SUM(AE9:AE19)</f>
        <v>0</v>
      </c>
      <c r="AF20" s="134">
        <f t="shared" ref="AF20" si="32">SUM(AF9:AF19)</f>
        <v>0</v>
      </c>
      <c r="AG20" s="127">
        <f>SUM(AG9:AG19)</f>
        <v>0</v>
      </c>
      <c r="AH20" s="130" t="s">
        <v>7</v>
      </c>
      <c r="AI20" s="134">
        <f t="shared" ref="AI20" si="33">SUM(AI9:AI19)</f>
        <v>0</v>
      </c>
      <c r="AJ20" s="127">
        <f>SUM(AJ9:AJ19)</f>
        <v>0</v>
      </c>
      <c r="AK20" s="130" t="s">
        <v>7</v>
      </c>
      <c r="AL20" s="134">
        <f t="shared" ref="AL20" si="34">SUM(AL9:AL19)</f>
        <v>0</v>
      </c>
      <c r="AM20" s="130" t="s">
        <v>7</v>
      </c>
      <c r="AN20" s="128" t="s">
        <v>84</v>
      </c>
      <c r="AO20" s="134">
        <f>SUM(AO9:AO19)</f>
        <v>0</v>
      </c>
      <c r="AP20" s="134"/>
      <c r="AQ20" s="146">
        <f>SUM(AQ9:AQ19)</f>
        <v>1286.2912600000002</v>
      </c>
      <c r="AR20" s="134"/>
      <c r="AS20" s="146">
        <f>SUM(AS9:AS19)</f>
        <v>1180.99</v>
      </c>
      <c r="AT20" s="131">
        <f>SUM(AT9:AT19)</f>
        <v>34205.503520000006</v>
      </c>
      <c r="AU20" s="148">
        <f>SUM(AU9:AU19)</f>
        <v>11.662240000000001</v>
      </c>
      <c r="AV20" s="133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6" t="s">
        <v>1</v>
      </c>
      <c r="B27" s="196" t="s">
        <v>2</v>
      </c>
      <c r="C27" s="180" t="s">
        <v>87</v>
      </c>
      <c r="D27" s="173" t="s">
        <v>55</v>
      </c>
      <c r="E27" s="108"/>
      <c r="F27" s="108"/>
      <c r="G27" s="108"/>
      <c r="H27" s="108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73" t="s">
        <v>55</v>
      </c>
      <c r="U27" s="107"/>
      <c r="V27" s="180" t="s">
        <v>56</v>
      </c>
      <c r="W27" s="173" t="s">
        <v>57</v>
      </c>
      <c r="X27" s="180" t="s">
        <v>58</v>
      </c>
      <c r="Y27" s="173" t="s">
        <v>59</v>
      </c>
      <c r="Z27" s="180" t="s">
        <v>60</v>
      </c>
      <c r="AA27" s="181"/>
      <c r="AB27" s="181"/>
      <c r="AC27" s="190" t="s">
        <v>61</v>
      </c>
      <c r="AD27" s="173" t="s">
        <v>62</v>
      </c>
      <c r="AE27" s="173" t="s">
        <v>62</v>
      </c>
      <c r="AF27" s="173" t="s">
        <v>62</v>
      </c>
      <c r="AG27" s="173" t="s">
        <v>61</v>
      </c>
      <c r="AH27" s="107"/>
      <c r="AI27" s="173" t="s">
        <v>62</v>
      </c>
      <c r="AJ27" s="173" t="s">
        <v>61</v>
      </c>
      <c r="AK27" s="107"/>
      <c r="AL27" s="173" t="s">
        <v>62</v>
      </c>
      <c r="AM27" s="173" t="s">
        <v>88</v>
      </c>
      <c r="AN27" s="180" t="s">
        <v>89</v>
      </c>
      <c r="AO27" s="173" t="s">
        <v>63</v>
      </c>
      <c r="AP27" s="135"/>
      <c r="AQ27" s="135"/>
      <c r="AR27" s="135"/>
      <c r="AS27" s="135"/>
    </row>
    <row r="28" spans="1:49" ht="12.75" hidden="1" customHeight="1" x14ac:dyDescent="0.2">
      <c r="A28" s="197"/>
      <c r="B28" s="199"/>
      <c r="C28" s="180"/>
      <c r="D28" s="173"/>
      <c r="E28" s="109"/>
      <c r="F28" s="109"/>
      <c r="G28" s="109"/>
      <c r="H28" s="109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73"/>
      <c r="U28" s="107"/>
      <c r="V28" s="180"/>
      <c r="W28" s="173"/>
      <c r="X28" s="180"/>
      <c r="Y28" s="173"/>
      <c r="Z28" s="180"/>
      <c r="AA28" s="182"/>
      <c r="AB28" s="182"/>
      <c r="AC28" s="191"/>
      <c r="AD28" s="173"/>
      <c r="AE28" s="173"/>
      <c r="AF28" s="173"/>
      <c r="AG28" s="173"/>
      <c r="AH28" s="107"/>
      <c r="AI28" s="173"/>
      <c r="AJ28" s="173"/>
      <c r="AK28" s="107"/>
      <c r="AL28" s="173"/>
      <c r="AM28" s="173"/>
      <c r="AN28" s="180"/>
      <c r="AO28" s="173"/>
      <c r="AP28" s="135"/>
      <c r="AQ28" s="135"/>
      <c r="AR28" s="135"/>
      <c r="AS28" s="135"/>
    </row>
    <row r="29" spans="1:49" ht="34.5" hidden="1" customHeight="1" x14ac:dyDescent="0.2">
      <c r="A29" s="198"/>
      <c r="B29" s="198"/>
      <c r="C29" s="180"/>
      <c r="D29" s="173"/>
      <c r="E29" s="109"/>
      <c r="F29" s="109"/>
      <c r="G29" s="109"/>
      <c r="H29" s="109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73"/>
      <c r="U29" s="107"/>
      <c r="V29" s="180"/>
      <c r="W29" s="173"/>
      <c r="X29" s="180"/>
      <c r="Y29" s="173"/>
      <c r="Z29" s="180"/>
      <c r="AA29" s="183"/>
      <c r="AB29" s="183"/>
      <c r="AC29" s="192"/>
      <c r="AD29" s="173"/>
      <c r="AE29" s="173"/>
      <c r="AF29" s="173"/>
      <c r="AG29" s="173"/>
      <c r="AH29" s="107"/>
      <c r="AI29" s="173"/>
      <c r="AJ29" s="173"/>
      <c r="AK29" s="107"/>
      <c r="AL29" s="173"/>
      <c r="AM29" s="173"/>
      <c r="AN29" s="180"/>
      <c r="AO29" s="173"/>
      <c r="AP29" s="135"/>
      <c r="AQ29" s="135"/>
      <c r="AR29" s="135"/>
      <c r="AS29" s="135"/>
    </row>
    <row r="30" spans="1:49" ht="14.25" hidden="1" customHeight="1" thickBot="1" x14ac:dyDescent="0.25">
      <c r="A30" s="184" t="s">
        <v>68</v>
      </c>
      <c r="B30" s="185"/>
      <c r="C30" s="38">
        <v>1</v>
      </c>
      <c r="D30" s="39">
        <v>2</v>
      </c>
      <c r="E30" s="111"/>
      <c r="F30" s="111"/>
      <c r="G30" s="111"/>
      <c r="H30" s="111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6"/>
      <c r="AQ30" s="136"/>
      <c r="AR30" s="136"/>
      <c r="AS30" s="136"/>
    </row>
    <row r="31" spans="1:49" ht="17.25" hidden="1" customHeight="1" x14ac:dyDescent="0.2">
      <c r="A31" s="186"/>
      <c r="B31" s="187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7"/>
      <c r="AQ31" s="137"/>
      <c r="AR31" s="137"/>
      <c r="AS31" s="137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2"/>
      <c r="F32" s="112"/>
      <c r="G32" s="112"/>
      <c r="H32" s="112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38"/>
      <c r="AQ32" s="138"/>
      <c r="AR32" s="138"/>
      <c r="AS32" s="138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2"/>
      <c r="F33" s="112"/>
      <c r="G33" s="112"/>
      <c r="H33" s="112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38"/>
      <c r="AQ33" s="138"/>
      <c r="AR33" s="138"/>
      <c r="AS33" s="138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38"/>
      <c r="AQ34" s="138"/>
      <c r="AR34" s="138"/>
      <c r="AS34" s="138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38"/>
      <c r="AQ35" s="138"/>
      <c r="AR35" s="138"/>
      <c r="AS35" s="138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38"/>
      <c r="AQ36" s="138"/>
      <c r="AR36" s="138"/>
      <c r="AS36" s="138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38"/>
      <c r="AQ37" s="138"/>
      <c r="AR37" s="138"/>
      <c r="AS37" s="138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38"/>
      <c r="AQ38" s="138"/>
      <c r="AR38" s="138"/>
      <c r="AS38" s="138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38"/>
      <c r="AQ39" s="138"/>
      <c r="AR39" s="138"/>
      <c r="AS39" s="138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38"/>
      <c r="AQ40" s="138"/>
      <c r="AR40" s="138"/>
      <c r="AS40" s="138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38"/>
      <c r="AQ41" s="138"/>
      <c r="AR41" s="138"/>
      <c r="AS41" s="138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39"/>
      <c r="AQ42" s="139"/>
      <c r="AR42" s="139"/>
      <c r="AS42" s="139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39"/>
      <c r="AQ43" s="139"/>
      <c r="AR43" s="139"/>
      <c r="AS43" s="139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39"/>
      <c r="AQ44" s="139"/>
      <c r="AR44" s="139"/>
      <c r="AS44" s="139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39"/>
      <c r="AQ45" s="139"/>
      <c r="AR45" s="139"/>
      <c r="AS45" s="139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39"/>
      <c r="AQ46" s="139"/>
      <c r="AR46" s="139"/>
      <c r="AS46" s="139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39"/>
      <c r="AQ47" s="139"/>
      <c r="AR47" s="139"/>
      <c r="AS47" s="139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39"/>
      <c r="AQ48" s="139"/>
      <c r="AR48" s="139"/>
      <c r="AS48" s="139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39"/>
      <c r="AQ49" s="139"/>
      <c r="AR49" s="139"/>
      <c r="AS49" s="139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39"/>
      <c r="AQ50" s="139"/>
      <c r="AR50" s="139"/>
      <c r="AS50" s="139"/>
    </row>
    <row r="51" spans="1:46" ht="16.5" hidden="1" customHeight="1" thickBot="1" x14ac:dyDescent="0.3">
      <c r="A51" s="188" t="s">
        <v>0</v>
      </c>
      <c r="B51" s="189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0"/>
      <c r="AQ51" s="140"/>
      <c r="AR51" s="140"/>
      <c r="AS51" s="140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D56" s="1" t="s">
        <v>85</v>
      </c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  <mergeCell ref="AQ4:AQ6"/>
    <mergeCell ref="AR4:AR6"/>
    <mergeCell ref="AS4:AS6"/>
    <mergeCell ref="AV4:AV6"/>
    <mergeCell ref="AU4:AU6"/>
    <mergeCell ref="AT4:A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  <mergeCell ref="AJ27:AJ29"/>
    <mergeCell ref="AL27:AL29"/>
    <mergeCell ref="AI27:AI29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ИНП2027</vt:lpstr>
      <vt:lpstr>ИБР2027</vt:lpstr>
      <vt:lpstr>ИБР2027!Заголовки_для_печати</vt:lpstr>
      <vt:lpstr>ИНП2027!Заголовки_для_печати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2025-11-03T06:55:32Z</cp:lastPrinted>
  <dcterms:created xsi:type="dcterms:W3CDTF">1996-11-09T08:12:45Z</dcterms:created>
  <dcterms:modified xsi:type="dcterms:W3CDTF">2025-11-03T06:56:09Z</dcterms:modified>
</cp:coreProperties>
</file>